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15" yWindow="0" windowWidth="19410" windowHeight="11790" activeTab="5"/>
  </bookViews>
  <sheets>
    <sheet name="Příloha-Vnější výplně" sheetId="6" r:id="rId1"/>
    <sheet name="Soupis prací" sheetId="1" r:id="rId2"/>
    <sheet name="Soupis prací - součet" sheetId="2" r:id="rId3"/>
    <sheet name="Výkaz výměr" sheetId="3" r:id="rId4"/>
    <sheet name="Krycí list soupisu prací" sheetId="4" r:id="rId5"/>
    <sheet name="VORN" sheetId="5" r:id="rId6"/>
  </sheets>
  <definedNames>
    <definedName name="vorn_sum">VORN!$I$39:$I$39</definedName>
  </definedNames>
  <calcPr calcId="125725"/>
</workbook>
</file>

<file path=xl/calcChain.xml><?xml version="1.0" encoding="utf-8"?>
<calcChain xmlns="http://schemas.openxmlformats.org/spreadsheetml/2006/main">
  <c r="F11" i="2"/>
  <c r="I11"/>
  <c r="I102" i="1"/>
  <c r="K102"/>
  <c r="Y102"/>
  <c r="Z102"/>
  <c r="AD102"/>
  <c r="G102" s="1"/>
  <c r="AE102"/>
  <c r="K38" i="6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6"/>
  <c r="K15"/>
  <c r="K14"/>
  <c r="K13"/>
  <c r="K12"/>
  <c r="K11"/>
  <c r="K10"/>
  <c r="K9"/>
  <c r="K8"/>
  <c r="K7"/>
  <c r="K6"/>
  <c r="K5"/>
  <c r="F22" i="4"/>
  <c r="I22"/>
  <c r="S12" i="1"/>
  <c r="T12"/>
  <c r="U12"/>
  <c r="V12"/>
  <c r="W12"/>
  <c r="I13"/>
  <c r="K13"/>
  <c r="N13"/>
  <c r="Y13"/>
  <c r="Z13"/>
  <c r="AD13"/>
  <c r="G13" s="1"/>
  <c r="AE13"/>
  <c r="I16"/>
  <c r="K16"/>
  <c r="N16"/>
  <c r="Y16"/>
  <c r="Z16"/>
  <c r="AD16"/>
  <c r="G16" s="1"/>
  <c r="AE16"/>
  <c r="I24"/>
  <c r="K24"/>
  <c r="N24"/>
  <c r="Y24"/>
  <c r="Z24"/>
  <c r="AD24"/>
  <c r="G24" s="1"/>
  <c r="AE24"/>
  <c r="I31"/>
  <c r="K31"/>
  <c r="N31"/>
  <c r="Y31"/>
  <c r="Z31"/>
  <c r="AD31"/>
  <c r="G31" s="1"/>
  <c r="AE31"/>
  <c r="I38"/>
  <c r="K38"/>
  <c r="N38"/>
  <c r="Y38"/>
  <c r="Z38"/>
  <c r="AD38"/>
  <c r="G38" s="1"/>
  <c r="AE38"/>
  <c r="I45"/>
  <c r="K45"/>
  <c r="N45"/>
  <c r="Y45"/>
  <c r="Z45"/>
  <c r="AD45"/>
  <c r="G45" s="1"/>
  <c r="AE45"/>
  <c r="I48"/>
  <c r="K48"/>
  <c r="N48"/>
  <c r="Y48"/>
  <c r="Z48"/>
  <c r="AD48"/>
  <c r="G48" s="1"/>
  <c r="AE48"/>
  <c r="I51"/>
  <c r="K51"/>
  <c r="N51"/>
  <c r="Y51"/>
  <c r="Z51"/>
  <c r="AD51"/>
  <c r="G51" s="1"/>
  <c r="AE51"/>
  <c r="I59"/>
  <c r="K59"/>
  <c r="N59"/>
  <c r="Y59"/>
  <c r="Z59"/>
  <c r="AD59"/>
  <c r="G59" s="1"/>
  <c r="AE59"/>
  <c r="I64"/>
  <c r="K64"/>
  <c r="N64"/>
  <c r="Y64"/>
  <c r="Z64"/>
  <c r="AD64"/>
  <c r="G64" s="1"/>
  <c r="AE64"/>
  <c r="S66"/>
  <c r="T66"/>
  <c r="U66"/>
  <c r="V66"/>
  <c r="W66"/>
  <c r="I67"/>
  <c r="AA67" s="1"/>
  <c r="K67"/>
  <c r="N67"/>
  <c r="Y67"/>
  <c r="Z67"/>
  <c r="AD67"/>
  <c r="G67" s="1"/>
  <c r="AE67"/>
  <c r="I69"/>
  <c r="AA69" s="1"/>
  <c r="K69"/>
  <c r="N69"/>
  <c r="Y69"/>
  <c r="Z69"/>
  <c r="AD69"/>
  <c r="G69" s="1"/>
  <c r="AE69"/>
  <c r="I77"/>
  <c r="AA77" s="1"/>
  <c r="K77"/>
  <c r="N77"/>
  <c r="Y77"/>
  <c r="Z77"/>
  <c r="AD77"/>
  <c r="G77" s="1"/>
  <c r="AE77"/>
  <c r="I80"/>
  <c r="AA80" s="1"/>
  <c r="K80"/>
  <c r="N80"/>
  <c r="Y80"/>
  <c r="Z80"/>
  <c r="AD80"/>
  <c r="G80" s="1"/>
  <c r="AE80"/>
  <c r="I82"/>
  <c r="K82"/>
  <c r="Y82"/>
  <c r="Z82"/>
  <c r="AA82"/>
  <c r="AD82"/>
  <c r="G82" s="1"/>
  <c r="AE82"/>
  <c r="Q84"/>
  <c r="R84"/>
  <c r="U84"/>
  <c r="V84"/>
  <c r="W84"/>
  <c r="I85"/>
  <c r="K85"/>
  <c r="N85"/>
  <c r="Y85"/>
  <c r="Z85"/>
  <c r="AD85"/>
  <c r="G85" s="1"/>
  <c r="AE85"/>
  <c r="I90"/>
  <c r="K90"/>
  <c r="N90"/>
  <c r="Y90"/>
  <c r="Z90"/>
  <c r="AD90"/>
  <c r="G90" s="1"/>
  <c r="AE90"/>
  <c r="I93"/>
  <c r="K93"/>
  <c r="N93"/>
  <c r="Y93"/>
  <c r="Z93"/>
  <c r="AD93"/>
  <c r="G93" s="1"/>
  <c r="AE93"/>
  <c r="I101"/>
  <c r="K101"/>
  <c r="N101"/>
  <c r="Y101"/>
  <c r="Z101"/>
  <c r="AD101"/>
  <c r="G101" s="1"/>
  <c r="AE101"/>
  <c r="Q104"/>
  <c r="R104"/>
  <c r="U104"/>
  <c r="V104"/>
  <c r="W104"/>
  <c r="I105"/>
  <c r="AA105" s="1"/>
  <c r="K105"/>
  <c r="N105"/>
  <c r="Y105"/>
  <c r="Z105"/>
  <c r="AD105"/>
  <c r="G105" s="1"/>
  <c r="AE105"/>
  <c r="I107"/>
  <c r="AA107" s="1"/>
  <c r="K107"/>
  <c r="N107"/>
  <c r="Y107"/>
  <c r="Z107"/>
  <c r="AD107"/>
  <c r="G107" s="1"/>
  <c r="AE107"/>
  <c r="I109"/>
  <c r="K109"/>
  <c r="Y109"/>
  <c r="Z109"/>
  <c r="AA109"/>
  <c r="AD109"/>
  <c r="G109" s="1"/>
  <c r="AE109"/>
  <c r="Q111"/>
  <c r="R111"/>
  <c r="U111"/>
  <c r="V111"/>
  <c r="W111"/>
  <c r="I112"/>
  <c r="K112"/>
  <c r="N112"/>
  <c r="Y112"/>
  <c r="Z112"/>
  <c r="AD112"/>
  <c r="G112" s="1"/>
  <c r="AE112"/>
  <c r="I120"/>
  <c r="K120"/>
  <c r="Y120"/>
  <c r="Z120"/>
  <c r="AD120"/>
  <c r="G120" s="1"/>
  <c r="AE120"/>
  <c r="Q122"/>
  <c r="R122"/>
  <c r="U122"/>
  <c r="V122"/>
  <c r="W122"/>
  <c r="I123"/>
  <c r="AA123" s="1"/>
  <c r="K123"/>
  <c r="N123"/>
  <c r="Y123"/>
  <c r="Z123"/>
  <c r="AD123"/>
  <c r="G123" s="1"/>
  <c r="AE123"/>
  <c r="I126"/>
  <c r="AA126" s="1"/>
  <c r="K126"/>
  <c r="N126"/>
  <c r="Y126"/>
  <c r="Z126"/>
  <c r="AD126"/>
  <c r="G126" s="1"/>
  <c r="AE126"/>
  <c r="S128"/>
  <c r="T128"/>
  <c r="U128"/>
  <c r="V128"/>
  <c r="W128"/>
  <c r="I129"/>
  <c r="K129"/>
  <c r="K128" s="1"/>
  <c r="N129"/>
  <c r="O128" s="1"/>
  <c r="Y129"/>
  <c r="AH128" s="1"/>
  <c r="Z129"/>
  <c r="AI128" s="1"/>
  <c r="AD129"/>
  <c r="G129" s="1"/>
  <c r="G128" s="1"/>
  <c r="AE129"/>
  <c r="S131"/>
  <c r="T131"/>
  <c r="U131"/>
  <c r="V131"/>
  <c r="W131"/>
  <c r="I132"/>
  <c r="AA132" s="1"/>
  <c r="AJ131" s="1"/>
  <c r="K132"/>
  <c r="K131" s="1"/>
  <c r="N132"/>
  <c r="O131" s="1"/>
  <c r="Y132"/>
  <c r="AH131" s="1"/>
  <c r="Z132"/>
  <c r="AI131" s="1"/>
  <c r="AD132"/>
  <c r="G132" s="1"/>
  <c r="AE132"/>
  <c r="S134"/>
  <c r="T134"/>
  <c r="U134"/>
  <c r="V134"/>
  <c r="W134"/>
  <c r="I135"/>
  <c r="K135"/>
  <c r="N135"/>
  <c r="Y135"/>
  <c r="Z135"/>
  <c r="AD135"/>
  <c r="G135" s="1"/>
  <c r="AE135"/>
  <c r="I142"/>
  <c r="K142"/>
  <c r="N142"/>
  <c r="Y142"/>
  <c r="Z142"/>
  <c r="AD142"/>
  <c r="G142" s="1"/>
  <c r="AE142"/>
  <c r="Q147"/>
  <c r="R147"/>
  <c r="S147"/>
  <c r="T147"/>
  <c r="U147"/>
  <c r="V147"/>
  <c r="W147"/>
  <c r="I148"/>
  <c r="K148"/>
  <c r="K147" s="1"/>
  <c r="Y148"/>
  <c r="AH147" s="1"/>
  <c r="Z148"/>
  <c r="AI147" s="1"/>
  <c r="AA148"/>
  <c r="AJ147" s="1"/>
  <c r="AD148"/>
  <c r="G148" s="1"/>
  <c r="AE148"/>
  <c r="Q149"/>
  <c r="R149"/>
  <c r="S149"/>
  <c r="T149"/>
  <c r="W149"/>
  <c r="I150"/>
  <c r="K150"/>
  <c r="N150"/>
  <c r="Y150"/>
  <c r="Z150"/>
  <c r="AD150"/>
  <c r="G150" s="1"/>
  <c r="AE150"/>
  <c r="I151"/>
  <c r="K151"/>
  <c r="N151"/>
  <c r="Y151"/>
  <c r="Z151"/>
  <c r="AD151"/>
  <c r="G151" s="1"/>
  <c r="AE151"/>
  <c r="I153"/>
  <c r="K153"/>
  <c r="N153"/>
  <c r="Y153"/>
  <c r="Z153"/>
  <c r="AD153"/>
  <c r="G153" s="1"/>
  <c r="AE153"/>
  <c r="I155"/>
  <c r="K155"/>
  <c r="N155"/>
  <c r="Y155"/>
  <c r="Z155"/>
  <c r="AD155"/>
  <c r="G155" s="1"/>
  <c r="AE155"/>
  <c r="I157"/>
  <c r="K157"/>
  <c r="N157"/>
  <c r="Y157"/>
  <c r="Z157"/>
  <c r="AD157"/>
  <c r="G157" s="1"/>
  <c r="AE157"/>
  <c r="I158"/>
  <c r="K158"/>
  <c r="N158"/>
  <c r="Y158"/>
  <c r="Z158"/>
  <c r="AD158"/>
  <c r="G158" s="1"/>
  <c r="AE158"/>
  <c r="Q160"/>
  <c r="R160"/>
  <c r="S160"/>
  <c r="T160"/>
  <c r="U160"/>
  <c r="V160"/>
  <c r="W160"/>
  <c r="I161"/>
  <c r="K161"/>
  <c r="Y161"/>
  <c r="Z161"/>
  <c r="AA161"/>
  <c r="AD161"/>
  <c r="G161" s="1"/>
  <c r="AE161"/>
  <c r="I162"/>
  <c r="K162"/>
  <c r="Y162"/>
  <c r="Z162"/>
  <c r="AA162"/>
  <c r="AD162"/>
  <c r="G162" s="1"/>
  <c r="AE162"/>
  <c r="I163"/>
  <c r="K163"/>
  <c r="Y163"/>
  <c r="Z163"/>
  <c r="AA163"/>
  <c r="AD163"/>
  <c r="G163" s="1"/>
  <c r="AE163"/>
  <c r="I164"/>
  <c r="K164"/>
  <c r="Y164"/>
  <c r="Z164"/>
  <c r="AA164"/>
  <c r="AD164"/>
  <c r="G164" s="1"/>
  <c r="AE164"/>
  <c r="I165"/>
  <c r="AA165" s="1"/>
  <c r="K165"/>
  <c r="N165"/>
  <c r="Y165"/>
  <c r="Z165"/>
  <c r="AD165"/>
  <c r="G165" s="1"/>
  <c r="AE165"/>
  <c r="Y166"/>
  <c r="F12" i="2"/>
  <c r="I12"/>
  <c r="F13"/>
  <c r="I13"/>
  <c r="F14"/>
  <c r="I14"/>
  <c r="F15"/>
  <c r="I15"/>
  <c r="F16"/>
  <c r="I16"/>
  <c r="F17"/>
  <c r="I17"/>
  <c r="F18"/>
  <c r="I18"/>
  <c r="F19"/>
  <c r="I19"/>
  <c r="F20"/>
  <c r="I20"/>
  <c r="F21"/>
  <c r="I21"/>
  <c r="F22"/>
  <c r="I22"/>
  <c r="I14" i="5"/>
  <c r="I15"/>
  <c r="I17" s="1"/>
  <c r="I16"/>
  <c r="I20"/>
  <c r="I21"/>
  <c r="I26" s="1"/>
  <c r="I22"/>
  <c r="I23"/>
  <c r="I24"/>
  <c r="I25"/>
  <c r="I34"/>
  <c r="I35"/>
  <c r="I36"/>
  <c r="I37"/>
  <c r="I38"/>
  <c r="I39" l="1"/>
  <c r="F28"/>
  <c r="F24" i="2"/>
  <c r="H165" i="1"/>
  <c r="H129"/>
  <c r="H128" s="1"/>
  <c r="H126"/>
  <c r="K111"/>
  <c r="H80"/>
  <c r="H69"/>
  <c r="H59"/>
  <c r="H48"/>
  <c r="H38"/>
  <c r="H102"/>
  <c r="N102" s="1"/>
  <c r="AA102"/>
  <c r="H142"/>
  <c r="K134"/>
  <c r="H163"/>
  <c r="N163" s="1"/>
  <c r="H157"/>
  <c r="H153"/>
  <c r="H150"/>
  <c r="K149"/>
  <c r="O122"/>
  <c r="H107"/>
  <c r="AJ104"/>
  <c r="K84"/>
  <c r="H77"/>
  <c r="AI160"/>
  <c r="K160"/>
  <c r="AH149"/>
  <c r="G134"/>
  <c r="AH134"/>
  <c r="AI122"/>
  <c r="AH111"/>
  <c r="AI104"/>
  <c r="H164"/>
  <c r="N164" s="1"/>
  <c r="H162"/>
  <c r="N162" s="1"/>
  <c r="AJ160"/>
  <c r="AH160"/>
  <c r="AI149"/>
  <c r="O149"/>
  <c r="AI134"/>
  <c r="O134"/>
  <c r="AJ122"/>
  <c r="AH122"/>
  <c r="K122"/>
  <c r="AI111"/>
  <c r="H109"/>
  <c r="N109" s="1"/>
  <c r="O104" s="1"/>
  <c r="AH104"/>
  <c r="K104"/>
  <c r="H93"/>
  <c r="H82"/>
  <c r="N82" s="1"/>
  <c r="O66" s="1"/>
  <c r="AJ66"/>
  <c r="AH66"/>
  <c r="K66"/>
  <c r="AI66"/>
  <c r="O12"/>
  <c r="K12"/>
  <c r="Z166"/>
  <c r="AI84"/>
  <c r="C28" i="4"/>
  <c r="F28" s="1"/>
  <c r="AH84" i="1"/>
  <c r="C27" i="4"/>
  <c r="C20"/>
  <c r="J39" i="6"/>
  <c r="J41" s="1"/>
  <c r="Q134" i="1"/>
  <c r="G122"/>
  <c r="H123"/>
  <c r="H122" s="1"/>
  <c r="T122" s="1"/>
  <c r="G104"/>
  <c r="H105"/>
  <c r="H104" s="1"/>
  <c r="T104" s="1"/>
  <c r="G149"/>
  <c r="R128"/>
  <c r="H120"/>
  <c r="N120" s="1"/>
  <c r="G111"/>
  <c r="O84"/>
  <c r="H85"/>
  <c r="H24"/>
  <c r="H13"/>
  <c r="H161"/>
  <c r="G160"/>
  <c r="G147"/>
  <c r="H148"/>
  <c r="G131"/>
  <c r="H132"/>
  <c r="H131" s="1"/>
  <c r="R131" s="1"/>
  <c r="I128"/>
  <c r="Q128"/>
  <c r="G66"/>
  <c r="H67"/>
  <c r="H66" s="1"/>
  <c r="R66" s="1"/>
  <c r="H158"/>
  <c r="H155"/>
  <c r="H151"/>
  <c r="H149" s="1"/>
  <c r="V149" s="1"/>
  <c r="C19" i="4" s="1"/>
  <c r="H135" i="1"/>
  <c r="H134" s="1"/>
  <c r="R134" s="1"/>
  <c r="O111"/>
  <c r="H112"/>
  <c r="H101"/>
  <c r="H90"/>
  <c r="G84"/>
  <c r="H64"/>
  <c r="H51"/>
  <c r="H45"/>
  <c r="H31"/>
  <c r="H16"/>
  <c r="G12"/>
  <c r="AI12"/>
  <c r="AA158"/>
  <c r="AA157"/>
  <c r="AA155"/>
  <c r="AA153"/>
  <c r="AA151"/>
  <c r="AA150"/>
  <c r="AA142"/>
  <c r="AA135"/>
  <c r="AA129"/>
  <c r="AJ128" s="1"/>
  <c r="AA120"/>
  <c r="AA112"/>
  <c r="AA101"/>
  <c r="AA93"/>
  <c r="AA90"/>
  <c r="AA85"/>
  <c r="AA64"/>
  <c r="AA59"/>
  <c r="AA51"/>
  <c r="AA48"/>
  <c r="AA45"/>
  <c r="AA38"/>
  <c r="AA31"/>
  <c r="AA24"/>
  <c r="AA16"/>
  <c r="AA13"/>
  <c r="AH12"/>
  <c r="AJ149" l="1"/>
  <c r="H111"/>
  <c r="AJ134"/>
  <c r="Q66"/>
  <c r="I66"/>
  <c r="Q131"/>
  <c r="I131"/>
  <c r="H160"/>
  <c r="N161"/>
  <c r="I149"/>
  <c r="U149"/>
  <c r="C18" i="4" s="1"/>
  <c r="S104" i="1"/>
  <c r="I104"/>
  <c r="S122"/>
  <c r="I122"/>
  <c r="H84"/>
  <c r="T84" s="1"/>
  <c r="I134"/>
  <c r="AJ12"/>
  <c r="AA166"/>
  <c r="Q12"/>
  <c r="C14" i="4" s="1"/>
  <c r="I84" i="1"/>
  <c r="S84"/>
  <c r="H147"/>
  <c r="I147" s="1"/>
  <c r="O147" s="1"/>
  <c r="N148"/>
  <c r="I111"/>
  <c r="S111"/>
  <c r="AJ84"/>
  <c r="AJ111"/>
  <c r="T111"/>
  <c r="I160"/>
  <c r="O160" s="1"/>
  <c r="H12"/>
  <c r="R12" s="1"/>
  <c r="C15" i="4" s="1"/>
  <c r="C17" l="1"/>
  <c r="C21"/>
  <c r="I12" i="1"/>
  <c r="I166" s="1"/>
  <c r="C16" i="4"/>
  <c r="C22" s="1"/>
  <c r="C29" s="1"/>
  <c r="I28" s="1"/>
  <c r="F29" l="1"/>
  <c r="I29" s="1"/>
</calcChain>
</file>

<file path=xl/sharedStrings.xml><?xml version="1.0" encoding="utf-8"?>
<sst xmlns="http://schemas.openxmlformats.org/spreadsheetml/2006/main" count="1111" uniqueCount="393">
  <si>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</si>
  <si>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</si>
  <si>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</si>
  <si>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</si>
  <si>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</si>
  <si>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</si>
  <si>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</si>
  <si>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</si>
  <si>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</si>
  <si>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</si>
  <si>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</si>
  <si>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</si>
  <si>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</si>
  <si>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</si>
  <si>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</si>
  <si>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</si>
  <si>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</si>
  <si>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</si>
  <si>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</si>
  <si>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</si>
  <si>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</si>
  <si>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</si>
  <si>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</si>
  <si>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</si>
  <si>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</si>
  <si>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</si>
  <si>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</si>
  <si>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</si>
  <si>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</si>
  <si>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</si>
  <si>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</si>
  <si>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</si>
  <si>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</si>
  <si>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</si>
  <si>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</si>
  <si>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</si>
  <si>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</si>
  <si>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</si>
  <si>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</si>
  <si>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</si>
  <si>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</si>
  <si>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</si>
  <si>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</si>
  <si>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</si>
  <si>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</si>
  <si>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</si>
  <si>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</si>
  <si>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</si>
  <si>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</si>
  <si>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Poznámka:</t>
  </si>
  <si>
    <t>Objekt</t>
  </si>
  <si>
    <t>Kód</t>
  </si>
  <si>
    <t>61</t>
  </si>
  <si>
    <t>612425931RT2</t>
  </si>
  <si>
    <t>612409991RT2</t>
  </si>
  <si>
    <t>610991111R00</t>
  </si>
  <si>
    <t>622321563R00</t>
  </si>
  <si>
    <t>622481291R00</t>
  </si>
  <si>
    <t>622323154RV1</t>
  </si>
  <si>
    <t>622481292R00</t>
  </si>
  <si>
    <t>55392760</t>
  </si>
  <si>
    <t>28350116</t>
  </si>
  <si>
    <t>62</t>
  </si>
  <si>
    <t>622422222R00</t>
  </si>
  <si>
    <t>624602111R00</t>
  </si>
  <si>
    <t>622412214RT2</t>
  </si>
  <si>
    <t>622323041R00</t>
  </si>
  <si>
    <t>998011001R00</t>
  </si>
  <si>
    <t>766</t>
  </si>
  <si>
    <t>766694113R00</t>
  </si>
  <si>
    <t>607753693</t>
  </si>
  <si>
    <t>766601211RT1</t>
  </si>
  <si>
    <t>766R004VD</t>
  </si>
  <si>
    <t>998766101R00</t>
  </si>
  <si>
    <t>767</t>
  </si>
  <si>
    <t>767583341R00</t>
  </si>
  <si>
    <t>55356491</t>
  </si>
  <si>
    <t>998767101R00</t>
  </si>
  <si>
    <t>771</t>
  </si>
  <si>
    <t>771575010RAB</t>
  </si>
  <si>
    <t>998771101R00</t>
  </si>
  <si>
    <t>784</t>
  </si>
  <si>
    <t>784142112R00</t>
  </si>
  <si>
    <t>784111101R00</t>
  </si>
  <si>
    <t>94</t>
  </si>
  <si>
    <t>941955002R00</t>
  </si>
  <si>
    <t>95</t>
  </si>
  <si>
    <t>952901111R00</t>
  </si>
  <si>
    <t>96</t>
  </si>
  <si>
    <t>968072747R00</t>
  </si>
  <si>
    <t>968095001R00</t>
  </si>
  <si>
    <t>H01</t>
  </si>
  <si>
    <t>998011002R00</t>
  </si>
  <si>
    <t>M21</t>
  </si>
  <si>
    <t>740R0001VD</t>
  </si>
  <si>
    <t>740R0002VD</t>
  </si>
  <si>
    <t>740R0003VD</t>
  </si>
  <si>
    <t>740R0004VD</t>
  </si>
  <si>
    <t>905      R02</t>
  </si>
  <si>
    <t>905      R01</t>
  </si>
  <si>
    <t>S</t>
  </si>
  <si>
    <t>979011111R00</t>
  </si>
  <si>
    <t>979083117R00</t>
  </si>
  <si>
    <t>979094211R00</t>
  </si>
  <si>
    <t>979082212R00</t>
  </si>
  <si>
    <t>979R0001VD</t>
  </si>
  <si>
    <t>Výměna části vnějších výplní otvorů a související práce - GYMNÁZIUM CHEB</t>
  </si>
  <si>
    <t>Škola</t>
  </si>
  <si>
    <t>st. 6594/1,6594/2 v k.ú. Cheb (650919)</t>
  </si>
  <si>
    <t>Zkrácený popis</t>
  </si>
  <si>
    <t>Rozměry</t>
  </si>
  <si>
    <t>Úprava povrchů vnitřní</t>
  </si>
  <si>
    <t>Omítka vápenná vnitřního ostění - štuková</t>
  </si>
  <si>
    <t>0,1*(2*2,43+2,4+2*14,1+0,61+2*2,43+1,2+2*1,25+0,9+2*3,1+2,58)   Pav.A-pol.1,2,3,4,5</t>
  </si>
  <si>
    <t>Začištění omítek kolem oken,dveří apod.</t>
  </si>
  <si>
    <t>4*2,43+2*13*2,4+6*2*0,6+2*2,43+2*1,2+2*(2*1,25+2*0,9)+2*3,1+2,58   Pav.A-pol.1,2,3,4,5</t>
  </si>
  <si>
    <t>3*2*2,43+2*24*2,4*2*0,6+8*(2*1,4+2*2,4)+3*(2*1,4+2*2,5)   Pav.B-pol.1,2,3,4</t>
  </si>
  <si>
    <t>8*(2*2,4+2*1,2)+2*(2*1,4+2*0,9)+4*(2*5,3*2*2,55)+2*(2*3,1+2,58)   Pav.B-pol.5,6,7,8</t>
  </si>
  <si>
    <t>2*(2*2,4+2*2,4)+2*2,4+2*1,2+2*(2*1,4+2*2,4)+2*1,4+2*1,2+2*2+2,3   Pav.C-pol.1,2,3,4,5</t>
  </si>
  <si>
    <t>2*5,36+2*2,4+4*1,765+2*3,1+1,83+2*(2*2,5+2*3,6)+2*3,1+2,58+2*3,12+1,04   Pav.C-pol.6,7,8,9,10</t>
  </si>
  <si>
    <t>2*(1,11+2*1,98)+2*2,4+2*2,4+2*2,4+1,2   Pav.D-pol.1,2,3</t>
  </si>
  <si>
    <t>Zakrývání výplní vnitřních otvorů</t>
  </si>
  <si>
    <t>13*2,43*2,4+6*14,1*0,61+2,43*1,2+2*1,25*0,9+3,1*2,58   Pav.A-pol.1,2,3,4,5</t>
  </si>
  <si>
    <t>44*2,43*2,4+24*2,4*0,6+8*1,4*2,4+3*1,4*2,5+8*2,4*1,2+2*1,4*0,9+4*5,3*2,55+2*3,1*2,58   Pav.B-pol.1,2,3,4,5,6,7,8</t>
  </si>
  <si>
    <t>2*2,4*2,4+2,4*1,2+2*1,4*2,4+1,4*1,2+2*2,3   Pav.C-pol.1,2,3,4,5</t>
  </si>
  <si>
    <t>5,36*2,4+14*2,5*1,765+7*3,1*1,83+2*2,5*3,6+3,1*2,58+3,12*1,04   Pav.C-pol.6,7,8,9,10</t>
  </si>
  <si>
    <t>2*1,11*1,98+2,4*2,4+2,4*1,2   Pav.D-pol.1,2,3</t>
  </si>
  <si>
    <t>Zateplovací systém, parapet, XPS tl. 20 mm, včetně stěrky a armovací tkaniny.</t>
  </si>
  <si>
    <t>0,2*(13*2,4+6*0,61+1,2+2*0,9)   Pav.A-pol.1,2,3,4</t>
  </si>
  <si>
    <t>0,2*(4*1,75+2,4+2,4+2*2,55)   Pav.A-pol.6,8,9,12</t>
  </si>
  <si>
    <t>0,2*(44*2,4+24*0,6+8*2,4+3*2,5+8*2,4+2*0,9+4*5,3)   Pav.B-pol.1,2,3,4,5,6,7</t>
  </si>
  <si>
    <t>0,2*(2*2,4+1,2+2*1,4+1,2)   Pav.C-pol.1,2,3,4</t>
  </si>
  <si>
    <t>0,2*(5,36+14*1,765+2*2,5)   Pav.C-pol.6,7,8</t>
  </si>
  <si>
    <t>0,2*(2*1,11+2,4+1,2)   Pav.D-pol.1,2,3</t>
  </si>
  <si>
    <t>Montáž výztužné lišty rohové- parapet</t>
  </si>
  <si>
    <t>13*2,4+6*0,61+1,2+2*0,9   Pav.A-pol.1,2,3,4</t>
  </si>
  <si>
    <t>4*1,75+2,4+2,4+2*2,55   Pav.A-pol.6,8,9,12</t>
  </si>
  <si>
    <t>44*2,4+24*0,6+8*2,4+3*2,5+8*2,4+2*0,9+4*5,3   Pav.B-pol.1,2,3,4,5,6,7</t>
  </si>
  <si>
    <t>2*2,4+1,2+2*1,4+1,2   Pav.C-pol.1,2,3,4</t>
  </si>
  <si>
    <t>5,36+14*1,765+2*2,5   Pav.C-pol.6,7,8</t>
  </si>
  <si>
    <t>2*1,11+2,4+1,2   Pav.D-pol.1,2,3</t>
  </si>
  <si>
    <t>Montáž výztužné lišty rohové - zateplené nadpraží</t>
  </si>
  <si>
    <t>13*2,4+6*0,61+1,2   Pav.A-pol.1,2,3</t>
  </si>
  <si>
    <t>44*2,4+24*0,6   Pav.B-pol.1,2</t>
  </si>
  <si>
    <t>Zateplovací systém nadpraží, EPS F tl. 60-80 mm, zakončený stěrkou s výztužnou tkaninou</t>
  </si>
  <si>
    <t>13*0,1*2,4+6*0,1*0,61+1,2*0,1   Pav.A-pol.1,2,3</t>
  </si>
  <si>
    <t>44*0,1*2,4+24*0,1*0,6   Pav.B-pol.1,2</t>
  </si>
  <si>
    <t>Montáž výztužné lišty okenní APU</t>
  </si>
  <si>
    <t>4*2,43+13*2,4+6*0,6+2*2,43+1,2+2*(1,25+0,9)+2*3,1+2,58   Pav.A-pol.1,2,3,4,5</t>
  </si>
  <si>
    <t>44*2,4+8*2,43+24*0,6+8*(1,4+2*2,4)+3*(2*1,4+2,5)   Pav.B-pol.1,2,3,4</t>
  </si>
  <si>
    <t>8*(2,4+2*1,2)+2*(2*1,4+0,9)+4*(5,3*2*2,55)+2*(2*3,1+2,58)   Pav.B-pol.5,6,7,8</t>
  </si>
  <si>
    <t>2*(2,4+2*2,4)+2*2,4+1,2+2*(2*1,4+2,4)+2*1,4+1,2+2*2+2,3   Pav.C-pol.1,2,3,4,5</t>
  </si>
  <si>
    <t>5,36+2*2,4+5,36+2*3,1+2*(2*2,5+3,6)+2*3,1+2,58+2*3,12+1,04   Pav.C-pol.6,7,8,9,10</t>
  </si>
  <si>
    <t>2*(1,11+2*1,98)+2*2,4+2,4+2*2,4+1,2   Pav.D-pol.1,2,3</t>
  </si>
  <si>
    <t>Lišta rohová s tkaninou 10/10 / 2,5 m</t>
  </si>
  <si>
    <t>294,55   Parapet</t>
  </si>
  <si>
    <t>156,06   Nadpraží</t>
  </si>
  <si>
    <t>;ztratné 5%; 22,5305</t>
  </si>
  <si>
    <t>Profil okenní začišťovací APU bez tkani., 6mm dl. 2,4m</t>
  </si>
  <si>
    <t>559,5   viz 622481292R00</t>
  </si>
  <si>
    <t>Úprava povrchů vnější</t>
  </si>
  <si>
    <t>Oprava vněj. omítek II,do 20%, štuk na 100% plochy</t>
  </si>
  <si>
    <t>2*1,2*3*2   světlík</t>
  </si>
  <si>
    <t>Tmelení spár rámu oken s omítkou spárovací maltou, na bázi disperzních polymerů, přetiratelnou,adhezní</t>
  </si>
  <si>
    <t>Nátěr stěn vnějších ,slož.1-2,silikon.hydrof.- Odstín sladěn s fasádou</t>
  </si>
  <si>
    <t>559,5*0,2   Vnější ostění</t>
  </si>
  <si>
    <t>14,4   Světlík</t>
  </si>
  <si>
    <t>Penetrace podkladu</t>
  </si>
  <si>
    <t>126,3   viz 622412214RT2</t>
  </si>
  <si>
    <t>Přesun hmot pro budovy zděné výšky do 6 m</t>
  </si>
  <si>
    <t>Konstrukce truhlářské</t>
  </si>
  <si>
    <t>Montáž parapetních desek š.do 30 cm</t>
  </si>
  <si>
    <t>4*1,75   Pav.A-pol.6</t>
  </si>
  <si>
    <t>44*2,4+24*0,6+8*2,4+2*0,9   Pav.B-pol.1,2,5,6</t>
  </si>
  <si>
    <t>Parapet interiér PVC š. do250mm, včetně krytek bočních.</t>
  </si>
  <si>
    <t>195,86</t>
  </si>
  <si>
    <t>;ztratné 5%; 9,793</t>
  </si>
  <si>
    <t>Těsnění okenní spáry, ostění- samolepící flexibilní, těsnící okenní pás š. 70mm, 1x interiér, včetně speciální montážní PUR pěny, viz TZ</t>
  </si>
  <si>
    <t>195,86   V místě měněného parapetu</t>
  </si>
  <si>
    <t>Přenos- dodávka a montáž výplní otvorů</t>
  </si>
  <si>
    <t>Přesun hmot pro truhlářské konstr., výšky do 6 m</t>
  </si>
  <si>
    <t>Konstrukce doplňkové stavební (zámečnické)</t>
  </si>
  <si>
    <t>Montáž podhledů lamelových AL</t>
  </si>
  <si>
    <t>2,8   Dopnění u dveří</t>
  </si>
  <si>
    <t>Podhled lamelový hliníkový</t>
  </si>
  <si>
    <t>Přesun hmot pro zámečnické konstr., výšky do 6 m</t>
  </si>
  <si>
    <t>0,0085</t>
  </si>
  <si>
    <t>Podlahy z dlaždic</t>
  </si>
  <si>
    <t>Dlažba do tmele</t>
  </si>
  <si>
    <t>0,2*(2*2*1,75+2,4+2,4+2*2,55)   Pavilon A, pol.6,7,9,12 - Parapety</t>
  </si>
  <si>
    <t>0,2*(8*2,4+3*2,5+4*5,3)   Pavilon B, pol.3,4,7 - Parapety</t>
  </si>
  <si>
    <t>0,2*(6*5,36+2*1,765+8*3,6)   Pavilon C, pol.6,7,8 - Parapety</t>
  </si>
  <si>
    <t>0,6*(2,58+2*1,9+2,58+4*2,58)   Pavilon A, pol.5,6,7,10,11 - Prah</t>
  </si>
  <si>
    <t>0,6*2*2,58   Pavilon B, pol. 8- Prah</t>
  </si>
  <si>
    <t>0,6*(2,3+1,83+2,58+1,045)   Pavilon C, pol. 5,7,9,10 - Prah</t>
  </si>
  <si>
    <t>0,6*(2*1,1+1.2)   Pavilon D, pol.  1,3- Prah</t>
  </si>
  <si>
    <t>Přesun hmot pro podlahy z dlaždic, výšky do 6 m</t>
  </si>
  <si>
    <t>0,8155</t>
  </si>
  <si>
    <t>Malby</t>
  </si>
  <si>
    <t>Malba vápenná, bílá, bez penetrace 2 x</t>
  </si>
  <si>
    <t>559,5*0,2   Ostění, nadpraží</t>
  </si>
  <si>
    <t>22+12+16+4+16+15+16+16+30+40+10+14+12   Stěny obvodové</t>
  </si>
  <si>
    <t>Penetrace podkladu nátěrem Standard V1307 1 x</t>
  </si>
  <si>
    <t>335   viz 784142112R00</t>
  </si>
  <si>
    <t>Lešení a stavební výtahy</t>
  </si>
  <si>
    <t>Lešení lehké pomocné, výška podlahy do 1,9 m</t>
  </si>
  <si>
    <t>1,2*384   okna, dveře, malby</t>
  </si>
  <si>
    <t>Různé dokončovací konstrukce a práce na pozemních stavbách</t>
  </si>
  <si>
    <t>Vyčištění budov o výšce podlaží do 4 m</t>
  </si>
  <si>
    <t>424   Místnosti přilehlé</t>
  </si>
  <si>
    <t>Bourání konstrukcí</t>
  </si>
  <si>
    <t>Vybourání dřevěných a kovových stěn s okny a dveřmi, včetně vyvěšení dveřních křídel</t>
  </si>
  <si>
    <t>Bourání parapetů dřevěných š. do 25 cm</t>
  </si>
  <si>
    <t>Budovy občanské výstavby</t>
  </si>
  <si>
    <t>Přesun hmot pro budovy zděné výšky do 12 m</t>
  </si>
  <si>
    <t>Elektromontáže</t>
  </si>
  <si>
    <t>Dodávka a montáž - Magnetický kontakt ke dveřím</t>
  </si>
  <si>
    <t>14   Slaboproud- napojení dveří na EZS</t>
  </si>
  <si>
    <t>Dodávka a montáž - Expander DGP2-ZX1</t>
  </si>
  <si>
    <t>Rozvody kabelem VEZ 8x2x0,22</t>
  </si>
  <si>
    <t>840   Slaboproud- napojení dveří na EZS</t>
  </si>
  <si>
    <t>Hzs-revize provoz.souboru a st.obj.- Uprava stavajiciho rozvadece</t>
  </si>
  <si>
    <t>Hzs-revize provoz.souboru a st.obj.</t>
  </si>
  <si>
    <t>12   Výchozí revize elektroinstalace</t>
  </si>
  <si>
    <t>Přesuny sutí</t>
  </si>
  <si>
    <t>Svislá doprava suti a vybour. hmot za 2.NP a 1.PP</t>
  </si>
  <si>
    <t>Vodorovné přemístění suti na skládku do 6000 m</t>
  </si>
  <si>
    <t>Nakládání nebo překládání vybourané suti</t>
  </si>
  <si>
    <t>Vodorovná doprava suti po suchu do 50 m</t>
  </si>
  <si>
    <t>Skládkovné se zohledněním prodeje hodnotného vybouraného materiálu do sběrného dvora</t>
  </si>
  <si>
    <t>Doba výstavby:</t>
  </si>
  <si>
    <t>Začátek výstavby:</t>
  </si>
  <si>
    <t>Konec výstavby:</t>
  </si>
  <si>
    <t>Zpracováno dne:</t>
  </si>
  <si>
    <t>M.j.</t>
  </si>
  <si>
    <t>m2</t>
  </si>
  <si>
    <t>m</t>
  </si>
  <si>
    <t>t</t>
  </si>
  <si>
    <t>kus</t>
  </si>
  <si>
    <t>soubor</t>
  </si>
  <si>
    <t>ks</t>
  </si>
  <si>
    <t>h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</si>
  <si>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</si>
  <si>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</si>
  <si>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</si>
  <si>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</si>
  <si>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</si>
  <si>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</si>
  <si>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</si>
  <si>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</si>
  <si>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</si>
  <si>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</si>
  <si>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</si>
  <si>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GYMNÁZIUM CHEB Nerudova 2283/7, 350 02 Cheb</t>
  </si>
  <si>
    <t>Ing. Jaroslav Radovnický</t>
  </si>
  <si>
    <t>Celkem</t>
  </si>
  <si>
    <t>Hmotnost (t)</t>
  </si>
  <si>
    <t>Cenová</t>
  </si>
  <si>
    <t>soustava</t>
  </si>
  <si>
    <t>RTS II / 2013</t>
  </si>
  <si>
    <t>0</t>
  </si>
  <si>
    <t>Přesuny</t>
  </si>
  <si>
    <t>Typ skupiny</t>
  </si>
  <si>
    <t>HS</t>
  </si>
  <si>
    <t>PS</t>
  </si>
  <si>
    <t>PR</t>
  </si>
  <si>
    <t>MP</t>
  </si>
  <si>
    <t>HSV mat</t>
  </si>
  <si>
    <t>HSV prac</t>
  </si>
  <si>
    <t>PSV mat</t>
  </si>
  <si>
    <t>PSV prac</t>
  </si>
  <si>
    <t>Mont mat</t>
  </si>
  <si>
    <t>Mont prac</t>
  </si>
  <si>
    <t>Ostatní mat.</t>
  </si>
  <si>
    <t>Náklady (Kč) - dodávka</t>
  </si>
  <si>
    <t>Náklady (Kč) - Montáž</t>
  </si>
  <si>
    <t>Náklady (Kč) - celkem</t>
  </si>
  <si>
    <t>Celková hmotnost (t)</t>
  </si>
  <si>
    <t>F</t>
  </si>
  <si>
    <t>Výkaz výměr</t>
  </si>
  <si>
    <t>Cenová soustava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</si>
  <si>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</si>
  <si>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</si>
  <si>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</si>
  <si>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</si>
  <si>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</si>
  <si>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</si>
  <si>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</si>
  <si>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</si>
  <si>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</si>
  <si>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</si>
  <si>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</si>
  <si>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</si>
  <si>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</si>
  <si>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</si>
  <si>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</si>
  <si>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</si>
  <si>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</si>
  <si>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</si>
  <si>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</si>
  <si>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</si>
  <si>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</si>
  <si>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</si>
  <si>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</si>
  <si>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</si>
  <si>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</si>
  <si>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</si>
  <si>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</si>
  <si>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</si>
  <si>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</si>
  <si>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</si>
  <si>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</si>
  <si>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</si>
  <si>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</si>
  <si>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</si>
  <si>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</si>
  <si>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</si>
  <si>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</si>
  <si>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</si>
  <si>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</si>
  <si>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</si>
  <si>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</si>
  <si>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</si>
  <si>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</si>
  <si>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47723386/CZ47723386</t>
  </si>
  <si>
    <t>Vedlejší a ostatní rozpočtové náklady</t>
  </si>
  <si>
    <t>Vedlejší rozpočtové náklady VRN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</si>
  <si>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</si>
  <si>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</si>
  <si>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</si>
  <si>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</si>
  <si>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</si>
  <si>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</si>
  <si>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Kč</t>
  </si>
  <si>
    <t>%</t>
  </si>
  <si>
    <t>Základna</t>
  </si>
  <si>
    <t>Koordinační a kompletační činnost dodavatele</t>
  </si>
  <si>
    <t>Náklady na veškeré energie související s realizací akce</t>
  </si>
  <si>
    <t>Pojištění odpovědnosti dodavatele včetně všech subdodavatelů</t>
  </si>
  <si>
    <t>Opatření k zajištění bezpečnosti účastníků realizace akce a veřejnosti (zejména zajištění staveniště, bezpečnostní tabulky)</t>
  </si>
  <si>
    <t>Zpracování návrhů provozních řádů příslušných zařízení zhotovitelem stavby</t>
  </si>
  <si>
    <t>VRN celkem</t>
  </si>
  <si>
    <t>- skutečné rozměry se mohou lišit, je třeba je zaměřit na stavbě před realizací.</t>
  </si>
  <si>
    <t xml:space="preserve">Výměna části vnějších výplní otvorů a související práce – GYMNÁZIUM CHEB </t>
  </si>
  <si>
    <t>Pol.</t>
  </si>
  <si>
    <t>Pavi- lon</t>
  </si>
  <si>
    <t>Množ-ství</t>
  </si>
  <si>
    <t>Šířka</t>
  </si>
  <si>
    <t>Výška</t>
  </si>
  <si>
    <t>Rám</t>
  </si>
  <si>
    <t>Výplň</t>
  </si>
  <si>
    <t>Doplňky oken</t>
  </si>
  <si>
    <t>Doplňky dveří</t>
  </si>
  <si>
    <t>Cena za 1ks, včetně příplatků a doplňků</t>
  </si>
  <si>
    <t>Cena celkem</t>
  </si>
  <si>
    <t>Plast v 5-ti nebo 6-ti komorovém provedení, aby max.Uw=1,2W/m2K</t>
  </si>
  <si>
    <t xml:space="preserve">Izolační dvojsklo, tepelně izolační rámečky, max.Ug= 1,1 W/m2K  </t>
  </si>
  <si>
    <t xml:space="preserve">Snížená poloha otevíracího mechanizmu otevírání horních výklopných křídel. </t>
  </si>
  <si>
    <t>PVC 1,5-21-1,5mm.</t>
  </si>
  <si>
    <t>Izolační dvojsklo, tepelně izolační rámečky</t>
  </si>
  <si>
    <t>Hliník max.Ud=1,7W/m2K, max.Uw=1,2W/m2K</t>
  </si>
  <si>
    <t xml:space="preserve">Izolační dvojsklo, vrstvené, tepelně izolační rámečky, max.Ug= 1,1 W/m2K  </t>
  </si>
  <si>
    <t>Kování nerez Koule-Klika, zámek s cylindrickou vložkou, panikový pákový uzávěr, samozavírač koordinátorem, zámek generální klíč 10ks</t>
  </si>
  <si>
    <t>Kování nerez Koule-Klika, zámek s cylindrickou vložkou, panikový pákový uzávěr, samozavírač s koordinátorem, zámek generální klíč 10ks</t>
  </si>
  <si>
    <t xml:space="preserve">  </t>
  </si>
  <si>
    <t>Izolační dvojsklo, tepelně izolační rámečky, max.Ug= 1,1 W/m2K  , střed- PVC 1,5-21-1,5mm.</t>
  </si>
  <si>
    <t xml:space="preserve">Izolační dvojsklo, tepelně izolační rámečky, max.Ug= 1,1 W/m2K </t>
  </si>
  <si>
    <t>Pákové otvírání</t>
  </si>
  <si>
    <t xml:space="preserve">Izolační dvojsklo, tepelně izolační rámečky, max.Ug= 1,1 W/m2K  , stupněm celkové propustnosti energie g max42%). </t>
  </si>
  <si>
    <t xml:space="preserve">Izolační dvojsklo, vrstvené, tepelně izolační rámečky, max.Ug= 1,1 W/m2K, stupněm celkové propustnosti energie g max42%).   </t>
  </si>
  <si>
    <t xml:space="preserve">Izolační dvojsklo, tepelně izolační rámečky, max.Ug= 1,1 W/m2K,, stupněm celkové propustnosti energie g max42%).   </t>
  </si>
  <si>
    <t>Kování nerez Koule-Klika, zámek s cylindrickou vložkou, panikový pákový uzávěr, samozavírač s koordinátorem, zámek generální klíč 10ks, zevnitř panikový klíč, elektrozámek</t>
  </si>
  <si>
    <t>Kování nerez Koule-Klika, zámek s cylindrickou vložkou, panikový pákový uzávěr , samozavírač s koordinátorem,zámek generální klíč 10ks</t>
  </si>
  <si>
    <t>D</t>
  </si>
  <si>
    <t>Hliník max.Ud=1,7W/m2K</t>
  </si>
  <si>
    <t>Kování nerez Koule-Klika, zámek s cylindrickou vložkou, panikový pákový uzávěr, samozavírač s koordinátorem,zámek generální klíč 10ks</t>
  </si>
  <si>
    <t>CELKEM bez DPH :</t>
  </si>
  <si>
    <t>Montáž bez DPH</t>
  </si>
  <si>
    <t>Celkem s montáží bez DPH</t>
  </si>
  <si>
    <t>Plast v 5-ti nebo 6-ti komorovém provedení, aby max.Uw=1,2W/m2KHliník(dveře) max.Ud=1,7W/m2K, max.Uw=1,2W/m2K</t>
  </si>
  <si>
    <t>0,1*(2*3,1+5,36+2*3,1+2,58+2*2,4+2,58+2*2,4+2+2*3,1+1,83+2*3,1+2,58+2*2,55+2,4+2*3,28)   Pav.A-pol.6,7,8,9,10,11,12</t>
  </si>
  <si>
    <t>2*(3,1+5,36+2*1,75)+2*3,1+2,58+2*2,4+2*2,58+2*2,4+2*2+2*3,1+1,83+8*3,1+4*2,58+4*2,55+4*2,4+4*2*3,28   Pav.A-pol.6,7,8,9,10,11,12</t>
  </si>
  <si>
    <t>12*2,35*1,75+6*1,86*3,1+7*3,1*2,58+2,4*2,58+2,4*2+3,1*1,83+4*3,1*2,58+2*2,55*2,4+4*5,57*3,28   Pav.A-pol.6,7,8,9,10,11,12</t>
  </si>
  <si>
    <t>2*(2*3,1+5,36)+2*3,1+2,58+2*2,4+2,58+2*2,4+2+2*3,1+1,83+4*(2*3,1+2,58)+2*(2,55+2*2,4)  Pav.A-pol.6,7,8,9,10,11,12</t>
  </si>
  <si>
    <t>2*(2*3,1+5,36)+2*3,1+2,58+2*2,4+2,58+2*2,4+2+2*3,1+1,83+4*(2*3,1+2,58)+2*(2,55+2*2,4)+4*(2*3,28+5,57   Pav.A-pol.6,7,8,9,10,11,12</t>
  </si>
  <si>
    <t>0,4437+3,0112</t>
  </si>
  <si>
    <t>18,89</t>
  </si>
  <si>
    <t>Dodávka a montáž -Grafická klávesnice color TM-50, včetně oživení systému EZS</t>
  </si>
  <si>
    <t>Zkrácený popis, rozměry</t>
  </si>
  <si>
    <t>Soupis prací</t>
  </si>
  <si>
    <t>Příloha soupisu prací - Vnější výplně - sestavy oken a dveří, podrobnosti v technické zprávě</t>
  </si>
  <si>
    <t>Soupis prací - rekapitulace</t>
  </si>
  <si>
    <t>Krycí list soupisu prací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</si>
</sst>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i/>
      <sz val="10"/>
      <color indexed="63"/>
      <name val="Arial"/>
      <charset val="238"/>
    </font>
    <font>
      <sz val="24"/>
      <color indexed="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9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4">
    <xf numFmtId="0" fontId="2" fillId="0" borderId="0" xfId="0" applyFont="1" applyAlignment="1">
      <alignment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49" fontId="2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0" borderId="10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4" fillId="0" borderId="11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4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49" fontId="4" fillId="0" borderId="12" xfId="0" applyNumberFormat="1" applyFont="1" applyFill="1" applyBorder="1" applyAlignment="1" applyProtection="1">
      <alignment horizontal="center" vertical="center"/>
    </xf>
    <xf numFmtId="49" fontId="4" fillId="0" borderId="13" xfId="0" applyNumberFormat="1" applyFont="1" applyFill="1" applyBorder="1" applyAlignment="1" applyProtection="1">
      <alignment horizontal="right" vertical="center"/>
    </xf>
    <xf numFmtId="49" fontId="4" fillId="0" borderId="15" xfId="0" applyNumberFormat="1" applyFont="1" applyFill="1" applyBorder="1" applyAlignment="1" applyProtection="1">
      <alignment horizontal="center" vertical="center"/>
    </xf>
    <xf numFmtId="49" fontId="4" fillId="0" borderId="17" xfId="0" applyNumberFormat="1" applyFont="1" applyFill="1" applyBorder="1" applyAlignment="1" applyProtection="1">
      <alignment horizontal="center" vertical="center"/>
    </xf>
    <xf numFmtId="49" fontId="4" fillId="0" borderId="19" xfId="0" applyNumberFormat="1" applyFont="1" applyFill="1" applyBorder="1" applyAlignment="1" applyProtection="1">
      <alignment horizontal="center" vertical="center"/>
    </xf>
    <xf numFmtId="49" fontId="4" fillId="2" borderId="7" xfId="0" applyNumberFormat="1" applyFont="1" applyFill="1" applyBorder="1" applyAlignment="1" applyProtection="1">
      <alignment horizontal="right" vertical="center"/>
    </xf>
    <xf numFmtId="49" fontId="4" fillId="2" borderId="0" xfId="0" applyNumberFormat="1" applyFont="1" applyFill="1" applyBorder="1" applyAlignment="1" applyProtection="1">
      <alignment horizontal="right" vertical="center"/>
    </xf>
    <xf numFmtId="49" fontId="4" fillId="0" borderId="23" xfId="0" applyNumberFormat="1" applyFont="1" applyFill="1" applyBorder="1" applyAlignment="1" applyProtection="1">
      <alignment horizontal="center" vertical="center"/>
    </xf>
    <xf numFmtId="49" fontId="4" fillId="0" borderId="24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25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4" fillId="2" borderId="7" xfId="0" applyNumberFormat="1" applyFont="1" applyFill="1" applyBorder="1" applyAlignment="1" applyProtection="1">
      <alignment horizontal="right" vertical="center"/>
    </xf>
    <xf numFmtId="4" fontId="4" fillId="2" borderId="0" xfId="0" applyNumberFormat="1" applyFont="1" applyFill="1" applyBorder="1" applyAlignment="1" applyProtection="1">
      <alignment horizontal="right" vertical="center"/>
    </xf>
    <xf numFmtId="4" fontId="4" fillId="0" borderId="8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4" fillId="0" borderId="27" xfId="0" applyNumberFormat="1" applyFont="1" applyFill="1" applyBorder="1" applyAlignment="1" applyProtection="1">
      <alignment horizontal="left" vertical="center"/>
    </xf>
    <xf numFmtId="49" fontId="4" fillId="0" borderId="28" xfId="0" applyNumberFormat="1" applyFont="1" applyFill="1" applyBorder="1" applyAlignment="1" applyProtection="1">
      <alignment horizontal="left" vertical="center"/>
    </xf>
    <xf numFmtId="4" fontId="2" fillId="0" borderId="7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49" fontId="4" fillId="0" borderId="28" xfId="0" applyNumberFormat="1" applyFont="1" applyFill="1" applyBorder="1" applyAlignment="1" applyProtection="1">
      <alignment horizontal="right" vertical="center"/>
    </xf>
    <xf numFmtId="49" fontId="11" fillId="2" borderId="31" xfId="0" applyNumberFormat="1" applyFont="1" applyFill="1" applyBorder="1" applyAlignment="1" applyProtection="1">
      <alignment horizontal="center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1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4" fontId="13" fillId="0" borderId="31" xfId="0" applyNumberFormat="1" applyFont="1" applyFill="1" applyBorder="1" applyAlignment="1" applyProtection="1">
      <alignment horizontal="right" vertical="center"/>
    </xf>
    <xf numFmtId="0" fontId="2" fillId="0" borderId="42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4" fontId="12" fillId="2" borderId="38" xfId="0" applyNumberFormat="1" applyFont="1" applyFill="1" applyBorder="1" applyAlignment="1" applyProtection="1">
      <alignment horizontal="right" vertical="center"/>
    </xf>
    <xf numFmtId="0" fontId="2" fillId="0" borderId="46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49" fontId="4" fillId="0" borderId="49" xfId="0" applyNumberFormat="1" applyFont="1" applyFill="1" applyBorder="1" applyAlignment="1" applyProtection="1">
      <alignment horizontal="right" vertical="center"/>
    </xf>
    <xf numFmtId="4" fontId="2" fillId="0" borderId="31" xfId="0" applyNumberFormat="1" applyFont="1" applyFill="1" applyBorder="1" applyAlignment="1" applyProtection="1">
      <alignment horizontal="right" vertical="center"/>
    </xf>
    <xf numFmtId="4" fontId="2" fillId="0" borderId="17" xfId="0" applyNumberFormat="1" applyFont="1" applyFill="1" applyBorder="1" applyAlignment="1" applyProtection="1">
      <alignment horizontal="right" vertical="center"/>
    </xf>
    <xf numFmtId="49" fontId="4" fillId="0" borderId="50" xfId="0" applyNumberFormat="1" applyFont="1" applyFill="1" applyBorder="1" applyAlignment="1" applyProtection="1">
      <alignment horizontal="left" vertical="center"/>
    </xf>
    <xf numFmtId="49" fontId="2" fillId="0" borderId="31" xfId="0" applyNumberFormat="1" applyFont="1" applyFill="1" applyBorder="1" applyAlignment="1" applyProtection="1">
      <alignment horizontal="left" vertical="center"/>
    </xf>
    <xf numFmtId="49" fontId="2" fillId="0" borderId="17" xfId="0" applyNumberFormat="1" applyFont="1" applyFill="1" applyBorder="1" applyAlignment="1" applyProtection="1">
      <alignment horizontal="left" vertical="center"/>
    </xf>
    <xf numFmtId="49" fontId="4" fillId="0" borderId="50" xfId="0" applyNumberFormat="1" applyFont="1" applyFill="1" applyBorder="1" applyAlignment="1" applyProtection="1">
      <alignment horizontal="right" vertical="center"/>
    </xf>
    <xf numFmtId="4" fontId="4" fillId="0" borderId="5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 wrapText="1"/>
    </xf>
    <xf numFmtId="4" fontId="8" fillId="0" borderId="0" xfId="0" applyNumberFormat="1" applyFont="1" applyFill="1" applyBorder="1" applyAlignment="1" applyProtection="1">
      <alignment horizontal="righ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" fontId="6" fillId="0" borderId="0" xfId="0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9" fontId="4" fillId="0" borderId="26" xfId="0" applyNumberFormat="1" applyFont="1" applyFill="1" applyBorder="1" applyAlignment="1" applyProtection="1">
      <alignment horizontal="left" vertical="center" wrapText="1"/>
    </xf>
    <xf numFmtId="49" fontId="4" fillId="0" borderId="27" xfId="0" applyNumberFormat="1" applyFont="1" applyFill="1" applyBorder="1" applyAlignment="1" applyProtection="1">
      <alignment horizontal="left" vertical="center" wrapText="1"/>
    </xf>
    <xf numFmtId="49" fontId="4" fillId="0" borderId="28" xfId="0" applyNumberFormat="1" applyFont="1" applyFill="1" applyBorder="1" applyAlignment="1" applyProtection="1">
      <alignment horizontal="left" vertical="center" wrapText="1"/>
    </xf>
    <xf numFmtId="49" fontId="4" fillId="0" borderId="28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" fontId="15" fillId="0" borderId="31" xfId="0" applyNumberFormat="1" applyFont="1" applyFill="1" applyBorder="1" applyAlignment="1" applyProtection="1">
      <alignment horizontal="right" vertical="center"/>
    </xf>
    <xf numFmtId="49" fontId="15" fillId="0" borderId="31" xfId="0" applyNumberFormat="1" applyFont="1" applyFill="1" applyBorder="1" applyAlignment="1" applyProtection="1">
      <alignment horizontal="left" vertical="center"/>
    </xf>
    <xf numFmtId="4" fontId="15" fillId="0" borderId="17" xfId="0" applyNumberFormat="1" applyFont="1" applyFill="1" applyBorder="1" applyAlignment="1" applyProtection="1">
      <alignment horizontal="right" vertical="center"/>
    </xf>
    <xf numFmtId="49" fontId="15" fillId="0" borderId="17" xfId="0" applyNumberFormat="1" applyFont="1" applyFill="1" applyBorder="1" applyAlignment="1" applyProtection="1">
      <alignment horizontal="left" vertical="center"/>
    </xf>
    <xf numFmtId="49" fontId="16" fillId="0" borderId="50" xfId="0" applyNumberFormat="1" applyFont="1" applyFill="1" applyBorder="1" applyAlignment="1" applyProtection="1">
      <alignment horizontal="left" vertical="center"/>
    </xf>
    <xf numFmtId="49" fontId="16" fillId="0" borderId="50" xfId="0" applyNumberFormat="1" applyFont="1" applyFill="1" applyBorder="1" applyAlignment="1" applyProtection="1">
      <alignment horizontal="right" vertical="center"/>
    </xf>
    <xf numFmtId="4" fontId="16" fillId="0" borderId="50" xfId="0" applyNumberFormat="1" applyFont="1" applyFill="1" applyBorder="1" applyAlignment="1" applyProtection="1">
      <alignment horizontal="right" vertical="center"/>
    </xf>
    <xf numFmtId="49" fontId="16" fillId="0" borderId="49" xfId="0" applyNumberFormat="1" applyFont="1" applyFill="1" applyBorder="1" applyAlignment="1" applyProtection="1">
      <alignment horizontal="right" vertical="center"/>
    </xf>
    <xf numFmtId="4" fontId="17" fillId="0" borderId="31" xfId="0" applyNumberFormat="1" applyFont="1" applyFill="1" applyBorder="1" applyAlignment="1" applyProtection="1">
      <alignment horizontal="right" vertical="center"/>
    </xf>
    <xf numFmtId="49" fontId="17" fillId="0" borderId="31" xfId="0" applyNumberFormat="1" applyFont="1" applyFill="1" applyBorder="1" applyAlignment="1" applyProtection="1">
      <alignment horizontal="right" vertical="center"/>
    </xf>
    <xf numFmtId="4" fontId="17" fillId="0" borderId="17" xfId="0" applyNumberFormat="1" applyFont="1" applyFill="1" applyBorder="1" applyAlignment="1" applyProtection="1">
      <alignment horizontal="right" vertical="center"/>
    </xf>
    <xf numFmtId="4" fontId="18" fillId="3" borderId="38" xfId="0" applyNumberFormat="1" applyFont="1" applyFill="1" applyBorder="1" applyAlignment="1" applyProtection="1">
      <alignment horizontal="right" vertical="center"/>
    </xf>
    <xf numFmtId="4" fontId="19" fillId="0" borderId="31" xfId="0" applyNumberFormat="1" applyFont="1" applyFill="1" applyBorder="1" applyAlignment="1" applyProtection="1">
      <alignment vertical="center"/>
    </xf>
    <xf numFmtId="0" fontId="0" fillId="0" borderId="0" xfId="0" applyAlignment="1">
      <alignment wrapText="1"/>
    </xf>
    <xf numFmtId="0" fontId="0" fillId="0" borderId="31" xfId="0" applyBorder="1" applyAlignment="1">
      <alignment wrapText="1"/>
    </xf>
    <xf numFmtId="0" fontId="0" fillId="0" borderId="31" xfId="0" applyBorder="1" applyAlignment="1">
      <alignment horizontal="center" wrapText="1"/>
    </xf>
    <xf numFmtId="0" fontId="22" fillId="0" borderId="31" xfId="0" applyFont="1" applyBorder="1" applyAlignment="1">
      <alignment wrapText="1"/>
    </xf>
    <xf numFmtId="3" fontId="0" fillId="0" borderId="31" xfId="0" applyNumberFormat="1" applyBorder="1" applyAlignment="1">
      <alignment wrapText="1"/>
    </xf>
    <xf numFmtId="4" fontId="0" fillId="0" borderId="31" xfId="0" applyNumberFormat="1" applyBorder="1" applyAlignment="1">
      <alignment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wrapText="1"/>
    </xf>
    <xf numFmtId="3" fontId="0" fillId="0" borderId="0" xfId="0" applyNumberFormat="1" applyAlignment="1">
      <alignment wrapText="1"/>
    </xf>
    <xf numFmtId="0" fontId="24" fillId="0" borderId="0" xfId="0" applyFont="1" applyAlignment="1">
      <alignment wrapText="1"/>
    </xf>
    <xf numFmtId="49" fontId="4" fillId="2" borderId="7" xfId="0" applyNumberFormat="1" applyFont="1" applyFill="1" applyBorder="1" applyAlignment="1" applyProtection="1">
      <alignment horizontal="left" vertical="center"/>
    </xf>
    <xf numFmtId="4" fontId="2" fillId="0" borderId="0" xfId="0" applyNumberFormat="1" applyFont="1" applyAlignment="1">
      <alignment vertical="center"/>
    </xf>
    <xf numFmtId="4" fontId="1" fillId="0" borderId="31" xfId="0" applyNumberFormat="1" applyFont="1" applyBorder="1" applyAlignment="1">
      <alignment wrapText="1"/>
    </xf>
    <xf numFmtId="0" fontId="25" fillId="0" borderId="31" xfId="0" applyFont="1" applyBorder="1" applyAlignment="1">
      <alignment wrapText="1"/>
    </xf>
    <xf numFmtId="0" fontId="0" fillId="0" borderId="34" xfId="0" applyBorder="1" applyAlignment="1">
      <alignment horizontal="right" wrapText="1"/>
    </xf>
    <xf numFmtId="0" fontId="0" fillId="0" borderId="30" xfId="0" applyBorder="1" applyAlignment="1">
      <alignment horizontal="right" wrapText="1"/>
    </xf>
    <xf numFmtId="0" fontId="0" fillId="0" borderId="38" xfId="0" applyBorder="1" applyAlignment="1">
      <alignment horizontal="right" wrapText="1"/>
    </xf>
    <xf numFmtId="0" fontId="0" fillId="0" borderId="34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4" fontId="21" fillId="0" borderId="34" xfId="0" applyNumberFormat="1" applyFont="1" applyBorder="1" applyAlignment="1">
      <alignment wrapText="1"/>
    </xf>
    <xf numFmtId="4" fontId="21" fillId="0" borderId="30" xfId="0" applyNumberFormat="1" applyFont="1" applyBorder="1" applyAlignment="1">
      <alignment wrapText="1"/>
    </xf>
    <xf numFmtId="4" fontId="0" fillId="0" borderId="31" xfId="0" applyNumberFormat="1" applyBorder="1" applyAlignment="1">
      <alignment wrapText="1"/>
    </xf>
    <xf numFmtId="4" fontId="0" fillId="0" borderId="34" xfId="0" applyNumberFormat="1" applyBorder="1" applyAlignment="1">
      <alignment wrapText="1"/>
    </xf>
    <xf numFmtId="4" fontId="0" fillId="0" borderId="30" xfId="0" applyNumberFormat="1" applyBorder="1" applyAlignment="1">
      <alignment wrapText="1"/>
    </xf>
    <xf numFmtId="4" fontId="23" fillId="0" borderId="32" xfId="0" applyNumberFormat="1" applyFont="1" applyBorder="1" applyAlignment="1">
      <alignment wrapText="1"/>
    </xf>
    <xf numFmtId="0" fontId="21" fillId="0" borderId="34" xfId="0" applyFont="1" applyBorder="1" applyAlignment="1">
      <alignment wrapText="1"/>
    </xf>
    <xf numFmtId="0" fontId="21" fillId="0" borderId="30" xfId="0" applyFont="1" applyBorder="1" applyAlignment="1">
      <alignment wrapText="1"/>
    </xf>
    <xf numFmtId="4" fontId="21" fillId="0" borderId="27" xfId="0" applyNumberFormat="1" applyFont="1" applyBorder="1" applyAlignment="1">
      <alignment wrapText="1"/>
    </xf>
    <xf numFmtId="4" fontId="21" fillId="0" borderId="26" xfId="0" applyNumberFormat="1" applyFont="1" applyBorder="1" applyAlignment="1">
      <alignment wrapText="1"/>
    </xf>
    <xf numFmtId="0" fontId="0" fillId="0" borderId="34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49" fontId="2" fillId="0" borderId="8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14" fontId="2" fillId="0" borderId="0" xfId="0" applyNumberFormat="1" applyFont="1" applyFill="1" applyBorder="1" applyAlignment="1" applyProtection="1">
      <alignment horizontal="left" vertical="center"/>
    </xf>
    <xf numFmtId="49" fontId="4" fillId="0" borderId="14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8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0" fontId="4" fillId="2" borderId="7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49" fontId="4" fillId="0" borderId="8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left" vertical="center"/>
    </xf>
    <xf numFmtId="14" fontId="2" fillId="0" borderId="21" xfId="0" applyNumberFormat="1" applyFont="1" applyFill="1" applyBorder="1" applyAlignment="1" applyProtection="1">
      <alignment horizontal="left" vertical="center"/>
    </xf>
    <xf numFmtId="0" fontId="2" fillId="0" borderId="43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49" fontId="10" fillId="0" borderId="30" xfId="0" applyNumberFormat="1" applyFont="1" applyFill="1" applyBorder="1" applyAlignment="1" applyProtection="1">
      <alignment horizontal="center" vertical="center"/>
    </xf>
    <xf numFmtId="0" fontId="10" fillId="0" borderId="30" xfId="0" applyNumberFormat="1" applyFont="1" applyFill="1" applyBorder="1" applyAlignment="1" applyProtection="1">
      <alignment horizontal="center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7" fillId="0" borderId="34" xfId="0" applyNumberFormat="1" applyFont="1" applyFill="1" applyBorder="1" applyAlignment="1" applyProtection="1">
      <alignment horizontal="left" vertical="center"/>
    </xf>
    <xf numFmtId="0" fontId="17" fillId="0" borderId="38" xfId="0" applyNumberFormat="1" applyFont="1" applyFill="1" applyBorder="1" applyAlignment="1" applyProtection="1">
      <alignment horizontal="left" vertical="center"/>
    </xf>
    <xf numFmtId="49" fontId="12" fillId="0" borderId="34" xfId="0" applyNumberFormat="1" applyFont="1" applyFill="1" applyBorder="1" applyAlignment="1" applyProtection="1">
      <alignment horizontal="left" vertical="center"/>
    </xf>
    <xf numFmtId="0" fontId="12" fillId="0" borderId="38" xfId="0" applyNumberFormat="1" applyFont="1" applyFill="1" applyBorder="1" applyAlignment="1" applyProtection="1">
      <alignment horizontal="left" vertical="center"/>
    </xf>
    <xf numFmtId="49" fontId="18" fillId="3" borderId="34" xfId="0" applyNumberFormat="1" applyFont="1" applyFill="1" applyBorder="1" applyAlignment="1" applyProtection="1">
      <alignment horizontal="left" vertical="center"/>
    </xf>
    <xf numFmtId="0" fontId="18" fillId="3" borderId="30" xfId="0" applyNumberFormat="1" applyFont="1" applyFill="1" applyBorder="1" applyAlignment="1" applyProtection="1">
      <alignment horizontal="left" vertical="center"/>
    </xf>
    <xf numFmtId="49" fontId="12" fillId="2" borderId="34" xfId="0" applyNumberFormat="1" applyFont="1" applyFill="1" applyBorder="1" applyAlignment="1" applyProtection="1">
      <alignment horizontal="left" vertical="center"/>
    </xf>
    <xf numFmtId="0" fontId="12" fillId="2" borderId="30" xfId="0" applyNumberFormat="1" applyFont="1" applyFill="1" applyBorder="1" applyAlignment="1" applyProtection="1">
      <alignment horizontal="left" vertical="center"/>
    </xf>
    <xf numFmtId="49" fontId="18" fillId="0" borderId="34" xfId="0" applyNumberFormat="1" applyFont="1" applyFill="1" applyBorder="1" applyAlignment="1" applyProtection="1">
      <alignment horizontal="left" vertical="center"/>
    </xf>
    <xf numFmtId="0" fontId="18" fillId="0" borderId="38" xfId="0" applyNumberFormat="1" applyFont="1" applyFill="1" applyBorder="1" applyAlignment="1" applyProtection="1">
      <alignment horizontal="left" vertical="center"/>
    </xf>
    <xf numFmtId="0" fontId="20" fillId="0" borderId="31" xfId="0" applyNumberFormat="1" applyFont="1" applyFill="1" applyBorder="1" applyAlignment="1" applyProtection="1">
      <alignment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25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3" fillId="0" borderId="37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1" xfId="0" applyNumberFormat="1" applyFont="1" applyFill="1" applyBorder="1" applyAlignment="1" applyProtection="1">
      <alignment horizontal="left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0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49" fontId="12" fillId="0" borderId="9" xfId="0" applyNumberFormat="1" applyFont="1" applyFill="1" applyBorder="1" applyAlignment="1" applyProtection="1">
      <alignment horizontal="left" vertical="center"/>
    </xf>
    <xf numFmtId="0" fontId="12" fillId="0" borderId="9" xfId="0" applyNumberFormat="1" applyFont="1" applyFill="1" applyBorder="1" applyAlignment="1" applyProtection="1">
      <alignment horizontal="left" vertical="center"/>
    </xf>
    <xf numFmtId="49" fontId="15" fillId="0" borderId="44" xfId="0" applyNumberFormat="1" applyFont="1" applyFill="1" applyBorder="1" applyAlignment="1" applyProtection="1">
      <alignment horizontal="left" vertical="center"/>
    </xf>
    <xf numFmtId="0" fontId="15" fillId="0" borderId="35" xfId="0" applyNumberFormat="1" applyFont="1" applyFill="1" applyBorder="1" applyAlignment="1" applyProtection="1">
      <alignment horizontal="left" vertical="center"/>
    </xf>
    <xf numFmtId="0" fontId="15" fillId="0" borderId="47" xfId="0" applyNumberFormat="1" applyFont="1" applyFill="1" applyBorder="1" applyAlignment="1" applyProtection="1">
      <alignment horizontal="left" vertical="center"/>
    </xf>
    <xf numFmtId="49" fontId="16" fillId="0" borderId="45" xfId="0" applyNumberFormat="1" applyFont="1" applyFill="1" applyBorder="1" applyAlignment="1" applyProtection="1">
      <alignment horizontal="left" vertical="center"/>
    </xf>
    <xf numFmtId="0" fontId="16" fillId="0" borderId="46" xfId="0" applyNumberFormat="1" applyFont="1" applyFill="1" applyBorder="1" applyAlignment="1" applyProtection="1">
      <alignment horizontal="left" vertical="center"/>
    </xf>
    <xf numFmtId="0" fontId="16" fillId="0" borderId="48" xfId="0" applyNumberFormat="1" applyFont="1" applyFill="1" applyBorder="1" applyAlignment="1" applyProtection="1">
      <alignment horizontal="left" vertical="center"/>
    </xf>
    <xf numFmtId="49" fontId="16" fillId="0" borderId="14" xfId="0" applyNumberFormat="1" applyFont="1" applyFill="1" applyBorder="1" applyAlignment="1" applyProtection="1">
      <alignment horizontal="left" vertical="center"/>
    </xf>
    <xf numFmtId="0" fontId="16" fillId="0" borderId="16" xfId="0" applyNumberFormat="1" applyFont="1" applyFill="1" applyBorder="1" applyAlignment="1" applyProtection="1">
      <alignment horizontal="left" vertical="center"/>
    </xf>
    <xf numFmtId="0" fontId="16" fillId="0" borderId="18" xfId="0" applyNumberFormat="1" applyFont="1" applyFill="1" applyBorder="1" applyAlignment="1" applyProtection="1">
      <alignment horizontal="left" vertical="center"/>
    </xf>
    <xf numFmtId="49" fontId="2" fillId="0" borderId="34" xfId="0" applyNumberFormat="1" applyFont="1" applyFill="1" applyBorder="1" applyAlignment="1" applyProtection="1">
      <alignment horizontal="left" vertical="center"/>
    </xf>
    <xf numFmtId="0" fontId="2" fillId="0" borderId="30" xfId="0" applyNumberFormat="1" applyFont="1" applyFill="1" applyBorder="1" applyAlignment="1" applyProtection="1">
      <alignment horizontal="left" vertical="center"/>
    </xf>
    <xf numFmtId="0" fontId="2" fillId="0" borderId="38" xfId="0" applyNumberFormat="1" applyFont="1" applyFill="1" applyBorder="1" applyAlignment="1" applyProtection="1">
      <alignment horizontal="left" vertical="center"/>
    </xf>
    <xf numFmtId="49" fontId="4" fillId="0" borderId="45" xfId="0" applyNumberFormat="1" applyFont="1" applyFill="1" applyBorder="1" applyAlignment="1" applyProtection="1">
      <alignment horizontal="left" vertical="center"/>
    </xf>
    <xf numFmtId="0" fontId="4" fillId="0" borderId="46" xfId="0" applyNumberFormat="1" applyFont="1" applyFill="1" applyBorder="1" applyAlignment="1" applyProtection="1">
      <alignment horizontal="left" vertical="center"/>
    </xf>
    <xf numFmtId="0" fontId="4" fillId="0" borderId="48" xfId="0" applyNumberFormat="1" applyFont="1" applyFill="1" applyBorder="1" applyAlignment="1" applyProtection="1">
      <alignment horizontal="left" vertical="center"/>
    </xf>
    <xf numFmtId="49" fontId="12" fillId="0" borderId="45" xfId="0" applyNumberFormat="1" applyFont="1" applyFill="1" applyBorder="1" applyAlignment="1" applyProtection="1">
      <alignment horizontal="left" vertical="center"/>
    </xf>
    <xf numFmtId="0" fontId="12" fillId="0" borderId="46" xfId="0" applyNumberFormat="1" applyFont="1" applyFill="1" applyBorder="1" applyAlignment="1" applyProtection="1">
      <alignment horizontal="left" vertical="center"/>
    </xf>
    <xf numFmtId="0" fontId="12" fillId="0" borderId="48" xfId="0" applyNumberFormat="1" applyFont="1" applyFill="1" applyBorder="1" applyAlignment="1" applyProtection="1">
      <alignment horizontal="left" vertical="center"/>
    </xf>
    <xf numFmtId="4" fontId="12" fillId="0" borderId="45" xfId="0" applyNumberFormat="1" applyFont="1" applyFill="1" applyBorder="1" applyAlignment="1" applyProtection="1">
      <alignment horizontal="right" vertical="center"/>
    </xf>
    <xf numFmtId="0" fontId="12" fillId="0" borderId="46" xfId="0" applyNumberFormat="1" applyFont="1" applyFill="1" applyBorder="1" applyAlignment="1" applyProtection="1">
      <alignment horizontal="right" vertical="center"/>
    </xf>
    <xf numFmtId="0" fontId="12" fillId="0" borderId="48" xfId="0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Fill="1" applyBorder="1" applyAlignment="1" applyProtection="1">
      <alignment horizontal="left" vertical="center"/>
    </xf>
    <xf numFmtId="0" fontId="4" fillId="0" borderId="16" xfId="0" applyNumberFormat="1" applyFont="1" applyFill="1" applyBorder="1" applyAlignment="1" applyProtection="1">
      <alignment horizontal="left" vertical="center"/>
    </xf>
    <xf numFmtId="0" fontId="4" fillId="0" borderId="18" xfId="0" applyNumberFormat="1" applyFont="1" applyFill="1" applyBorder="1" applyAlignment="1" applyProtection="1">
      <alignment horizontal="left" vertical="center"/>
    </xf>
    <xf numFmtId="49" fontId="2" fillId="0" borderId="34" xfId="0" applyNumberFormat="1" applyFont="1" applyFill="1" applyBorder="1" applyAlignment="1" applyProtection="1">
      <alignment horizontal="left" vertical="center" wrapText="1"/>
    </xf>
    <xf numFmtId="0" fontId="2" fillId="0" borderId="30" xfId="0" applyNumberFormat="1" applyFont="1" applyFill="1" applyBorder="1" applyAlignment="1" applyProtection="1">
      <alignment horizontal="left" vertical="center" wrapText="1"/>
    </xf>
    <xf numFmtId="0" fontId="2" fillId="0" borderId="38" xfId="0" applyNumberFormat="1" applyFont="1" applyFill="1" applyBorder="1" applyAlignment="1" applyProtection="1">
      <alignment horizontal="left" vertical="center" wrapText="1"/>
    </xf>
    <xf numFmtId="49" fontId="2" fillId="0" borderId="44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1"/>
  <sheetViews>
    <sheetView zoomScale="85" zoomScaleNormal="85" workbookViewId="0">
      <selection sqref="A1:K1"/>
    </sheetView>
  </sheetViews>
  <sheetFormatPr defaultRowHeight="12.75"/>
  <cols>
    <col min="1" max="1" width="4.5703125" style="96" customWidth="1"/>
    <col min="2" max="2" width="5.140625" style="96" customWidth="1"/>
    <col min="3" max="3" width="6.140625" style="103" customWidth="1"/>
    <col min="4" max="4" width="6.28515625" style="96" customWidth="1"/>
    <col min="5" max="5" width="6.140625" style="96" customWidth="1"/>
    <col min="6" max="6" width="21.140625" style="96" customWidth="1"/>
    <col min="7" max="7" width="24.42578125" style="96" customWidth="1"/>
    <col min="8" max="8" width="22.140625" style="96" customWidth="1"/>
    <col min="9" max="9" width="22.85546875" style="96" customWidth="1"/>
    <col min="10" max="10" width="9.140625" style="96" customWidth="1"/>
    <col min="11" max="11" width="10.85546875" style="96" customWidth="1"/>
    <col min="12" max="12" width="17.7109375" style="96" customWidth="1"/>
    <col min="13" max="16384" width="9.140625" style="96"/>
  </cols>
  <sheetData>
    <row r="1" spans="1:11">
      <c r="A1" s="109" t="s">
        <v>390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>
      <c r="A2" s="110" t="s">
        <v>342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>
      <c r="A3" s="113" t="s">
        <v>343</v>
      </c>
      <c r="B3" s="114"/>
      <c r="C3" s="114"/>
      <c r="D3" s="114"/>
      <c r="E3" s="114"/>
      <c r="F3" s="114"/>
      <c r="G3" s="114"/>
      <c r="H3" s="114"/>
      <c r="I3" s="114"/>
      <c r="J3" s="115"/>
      <c r="K3" s="97"/>
    </row>
    <row r="4" spans="1:11" ht="63.75">
      <c r="A4" s="97" t="s">
        <v>344</v>
      </c>
      <c r="B4" s="97" t="s">
        <v>345</v>
      </c>
      <c r="C4" s="98" t="s">
        <v>346</v>
      </c>
      <c r="D4" s="97" t="s">
        <v>347</v>
      </c>
      <c r="E4" s="97" t="s">
        <v>348</v>
      </c>
      <c r="F4" s="97" t="s">
        <v>349</v>
      </c>
      <c r="G4" s="97" t="s">
        <v>350</v>
      </c>
      <c r="H4" s="97" t="s">
        <v>351</v>
      </c>
      <c r="I4" s="97" t="s">
        <v>352</v>
      </c>
      <c r="J4" s="97" t="s">
        <v>353</v>
      </c>
      <c r="K4" s="97" t="s">
        <v>354</v>
      </c>
    </row>
    <row r="5" spans="1:11" ht="53.25">
      <c r="A5" s="99">
        <v>1</v>
      </c>
      <c r="B5" s="99" t="s">
        <v>282</v>
      </c>
      <c r="C5" s="98">
        <v>13</v>
      </c>
      <c r="D5" s="100">
        <v>2400</v>
      </c>
      <c r="E5" s="100">
        <v>2400</v>
      </c>
      <c r="F5" s="97" t="s">
        <v>355</v>
      </c>
      <c r="G5" s="97" t="s">
        <v>356</v>
      </c>
      <c r="H5" s="97" t="s">
        <v>357</v>
      </c>
      <c r="I5" s="97"/>
      <c r="J5" s="101">
        <v>0</v>
      </c>
      <c r="K5" s="101">
        <f>J5*C5</f>
        <v>0</v>
      </c>
    </row>
    <row r="6" spans="1:11" ht="53.25">
      <c r="A6" s="99">
        <v>2</v>
      </c>
      <c r="B6" s="99" t="s">
        <v>282</v>
      </c>
      <c r="C6" s="98">
        <v>6</v>
      </c>
      <c r="D6" s="100">
        <v>600</v>
      </c>
      <c r="E6" s="100">
        <v>2400</v>
      </c>
      <c r="F6" s="97" t="s">
        <v>355</v>
      </c>
      <c r="G6" s="97" t="s">
        <v>358</v>
      </c>
      <c r="H6" s="97"/>
      <c r="I6" s="97"/>
      <c r="J6" s="101">
        <v>0</v>
      </c>
      <c r="K6" s="101">
        <f t="shared" ref="K6:K38" si="0">J6*C6</f>
        <v>0</v>
      </c>
    </row>
    <row r="7" spans="1:11" ht="53.25">
      <c r="A7" s="99">
        <v>3</v>
      </c>
      <c r="B7" s="99" t="s">
        <v>282</v>
      </c>
      <c r="C7" s="98">
        <v>1</v>
      </c>
      <c r="D7" s="100">
        <v>1200</v>
      </c>
      <c r="E7" s="100">
        <v>2400</v>
      </c>
      <c r="F7" s="97" t="s">
        <v>355</v>
      </c>
      <c r="G7" s="97" t="s">
        <v>356</v>
      </c>
      <c r="H7" s="97" t="s">
        <v>357</v>
      </c>
      <c r="I7" s="97"/>
      <c r="J7" s="101">
        <v>0</v>
      </c>
      <c r="K7" s="101">
        <f t="shared" si="0"/>
        <v>0</v>
      </c>
    </row>
    <row r="8" spans="1:11" ht="53.25">
      <c r="A8" s="99">
        <v>4</v>
      </c>
      <c r="B8" s="99" t="s">
        <v>282</v>
      </c>
      <c r="C8" s="98">
        <v>2</v>
      </c>
      <c r="D8" s="100">
        <v>900</v>
      </c>
      <c r="E8" s="100">
        <v>1250</v>
      </c>
      <c r="F8" s="97" t="s">
        <v>355</v>
      </c>
      <c r="G8" s="97" t="s">
        <v>359</v>
      </c>
      <c r="H8" s="97" t="s">
        <v>357</v>
      </c>
      <c r="I8" s="97"/>
      <c r="J8" s="101">
        <v>0</v>
      </c>
      <c r="K8" s="101">
        <f t="shared" si="0"/>
        <v>0</v>
      </c>
    </row>
    <row r="9" spans="1:11" ht="117" customHeight="1">
      <c r="A9" s="99">
        <v>5</v>
      </c>
      <c r="B9" s="99" t="s">
        <v>282</v>
      </c>
      <c r="C9" s="98">
        <v>1</v>
      </c>
      <c r="D9" s="100">
        <v>2580</v>
      </c>
      <c r="E9" s="100">
        <v>3100</v>
      </c>
      <c r="F9" s="97" t="s">
        <v>360</v>
      </c>
      <c r="G9" s="97" t="s">
        <v>361</v>
      </c>
      <c r="H9" s="97"/>
      <c r="I9" s="97" t="s">
        <v>362</v>
      </c>
      <c r="J9" s="101">
        <v>0</v>
      </c>
      <c r="K9" s="101">
        <f t="shared" si="0"/>
        <v>0</v>
      </c>
    </row>
    <row r="10" spans="1:11" ht="91.5">
      <c r="A10" s="99">
        <v>6</v>
      </c>
      <c r="B10" s="99" t="s">
        <v>282</v>
      </c>
      <c r="C10" s="98">
        <v>2</v>
      </c>
      <c r="D10" s="100">
        <v>5360</v>
      </c>
      <c r="E10" s="100">
        <v>3100</v>
      </c>
      <c r="F10" s="97" t="s">
        <v>379</v>
      </c>
      <c r="G10" s="97" t="s">
        <v>361</v>
      </c>
      <c r="H10" s="97"/>
      <c r="I10" s="97" t="s">
        <v>362</v>
      </c>
      <c r="J10" s="101">
        <v>0</v>
      </c>
      <c r="K10" s="101">
        <f t="shared" si="0"/>
        <v>0</v>
      </c>
    </row>
    <row r="11" spans="1:11" ht="78.75">
      <c r="A11" s="99">
        <v>7</v>
      </c>
      <c r="B11" s="99" t="s">
        <v>282</v>
      </c>
      <c r="C11" s="98">
        <v>1</v>
      </c>
      <c r="D11" s="100">
        <v>2580</v>
      </c>
      <c r="E11" s="100">
        <v>3100</v>
      </c>
      <c r="F11" s="97" t="s">
        <v>360</v>
      </c>
      <c r="G11" s="97" t="s">
        <v>361</v>
      </c>
      <c r="H11" s="97"/>
      <c r="I11" s="97" t="s">
        <v>362</v>
      </c>
      <c r="J11" s="101">
        <v>0</v>
      </c>
      <c r="K11" s="101">
        <f t="shared" si="0"/>
        <v>0</v>
      </c>
    </row>
    <row r="12" spans="1:11" ht="53.25">
      <c r="A12" s="99">
        <v>8</v>
      </c>
      <c r="B12" s="99" t="s">
        <v>282</v>
      </c>
      <c r="C12" s="98">
        <v>1</v>
      </c>
      <c r="D12" s="100">
        <v>2580</v>
      </c>
      <c r="E12" s="100">
        <v>3100</v>
      </c>
      <c r="F12" s="97" t="s">
        <v>355</v>
      </c>
      <c r="G12" s="97" t="s">
        <v>359</v>
      </c>
      <c r="H12" s="97"/>
      <c r="I12" s="97"/>
      <c r="J12" s="101">
        <v>0</v>
      </c>
      <c r="K12" s="101">
        <f t="shared" si="0"/>
        <v>0</v>
      </c>
    </row>
    <row r="13" spans="1:11" ht="53.25">
      <c r="A13" s="99">
        <v>9</v>
      </c>
      <c r="B13" s="99" t="s">
        <v>282</v>
      </c>
      <c r="C13" s="98">
        <v>1</v>
      </c>
      <c r="D13" s="100">
        <v>2000</v>
      </c>
      <c r="E13" s="100">
        <v>2400</v>
      </c>
      <c r="F13" s="97" t="s">
        <v>355</v>
      </c>
      <c r="G13" s="97" t="s">
        <v>356</v>
      </c>
      <c r="H13" s="97"/>
      <c r="I13" s="97"/>
      <c r="J13" s="108">
        <v>0</v>
      </c>
      <c r="K13" s="101">
        <f t="shared" si="0"/>
        <v>0</v>
      </c>
    </row>
    <row r="14" spans="1:11" ht="78.75">
      <c r="A14" s="99">
        <v>10</v>
      </c>
      <c r="B14" s="99" t="s">
        <v>282</v>
      </c>
      <c r="C14" s="98">
        <v>1</v>
      </c>
      <c r="D14" s="100">
        <v>1830</v>
      </c>
      <c r="E14" s="100">
        <v>3100</v>
      </c>
      <c r="F14" s="97" t="s">
        <v>360</v>
      </c>
      <c r="G14" s="97" t="s">
        <v>361</v>
      </c>
      <c r="H14" s="97"/>
      <c r="I14" s="97" t="s">
        <v>363</v>
      </c>
      <c r="J14" s="101">
        <v>0</v>
      </c>
      <c r="K14" s="101">
        <f t="shared" si="0"/>
        <v>0</v>
      </c>
    </row>
    <row r="15" spans="1:11" ht="78.75">
      <c r="A15" s="99">
        <v>11</v>
      </c>
      <c r="B15" s="99" t="s">
        <v>282</v>
      </c>
      <c r="C15" s="98">
        <v>4</v>
      </c>
      <c r="D15" s="100">
        <v>2580</v>
      </c>
      <c r="E15" s="100">
        <v>3100</v>
      </c>
      <c r="F15" s="97" t="s">
        <v>360</v>
      </c>
      <c r="G15" s="97" t="s">
        <v>361</v>
      </c>
      <c r="H15" s="97"/>
      <c r="I15" s="97" t="s">
        <v>363</v>
      </c>
      <c r="J15" s="101">
        <v>0</v>
      </c>
      <c r="K15" s="101">
        <f t="shared" si="0"/>
        <v>0</v>
      </c>
    </row>
    <row r="16" spans="1:11" ht="53.25">
      <c r="A16" s="99">
        <v>12</v>
      </c>
      <c r="B16" s="99" t="s">
        <v>282</v>
      </c>
      <c r="C16" s="98">
        <v>2</v>
      </c>
      <c r="D16" s="100">
        <v>2400</v>
      </c>
      <c r="E16" s="100">
        <v>2550</v>
      </c>
      <c r="F16" s="97" t="s">
        <v>355</v>
      </c>
      <c r="G16" s="97" t="s">
        <v>356</v>
      </c>
      <c r="H16" s="97"/>
      <c r="I16" s="97"/>
      <c r="J16" s="101">
        <v>0</v>
      </c>
      <c r="K16" s="101">
        <f t="shared" si="0"/>
        <v>0</v>
      </c>
    </row>
    <row r="17" spans="1:11" ht="5.25" customHeight="1">
      <c r="A17" s="99"/>
      <c r="B17" s="99"/>
      <c r="C17" s="126"/>
      <c r="D17" s="127"/>
      <c r="E17" s="127"/>
      <c r="F17" s="127"/>
      <c r="G17" s="127"/>
      <c r="H17" s="127"/>
      <c r="I17" s="127"/>
      <c r="J17" s="127"/>
      <c r="K17" s="128"/>
    </row>
    <row r="18" spans="1:11" ht="53.25">
      <c r="A18" s="99">
        <v>1</v>
      </c>
      <c r="B18" s="99" t="s">
        <v>296</v>
      </c>
      <c r="C18" s="98">
        <v>44</v>
      </c>
      <c r="D18" s="100">
        <v>2400</v>
      </c>
      <c r="E18" s="100">
        <v>2400</v>
      </c>
      <c r="F18" s="97" t="s">
        <v>355</v>
      </c>
      <c r="G18" s="97" t="s">
        <v>356</v>
      </c>
      <c r="H18" s="97" t="s">
        <v>364</v>
      </c>
      <c r="I18" s="97"/>
      <c r="J18" s="101">
        <v>0</v>
      </c>
      <c r="K18" s="101">
        <f t="shared" si="0"/>
        <v>0</v>
      </c>
    </row>
    <row r="19" spans="1:11" ht="53.25">
      <c r="A19" s="99">
        <v>2</v>
      </c>
      <c r="B19" s="99" t="s">
        <v>296</v>
      </c>
      <c r="C19" s="98">
        <v>24</v>
      </c>
      <c r="D19" s="100">
        <v>600</v>
      </c>
      <c r="E19" s="100">
        <v>2400</v>
      </c>
      <c r="F19" s="97" t="s">
        <v>355</v>
      </c>
      <c r="G19" s="97" t="s">
        <v>358</v>
      </c>
      <c r="H19" s="97"/>
      <c r="I19" s="97"/>
      <c r="J19" s="101">
        <v>0</v>
      </c>
      <c r="K19" s="101">
        <f t="shared" si="0"/>
        <v>0</v>
      </c>
    </row>
    <row r="20" spans="1:11" ht="53.25">
      <c r="A20" s="99">
        <v>3</v>
      </c>
      <c r="B20" s="99" t="s">
        <v>296</v>
      </c>
      <c r="C20" s="98">
        <v>8</v>
      </c>
      <c r="D20" s="100">
        <v>2400</v>
      </c>
      <c r="E20" s="100">
        <v>1400</v>
      </c>
      <c r="F20" s="97" t="s">
        <v>355</v>
      </c>
      <c r="G20" s="97" t="s">
        <v>356</v>
      </c>
      <c r="H20" s="97" t="s">
        <v>357</v>
      </c>
      <c r="I20" s="97"/>
      <c r="J20" s="101">
        <v>0</v>
      </c>
      <c r="K20" s="101">
        <f t="shared" si="0"/>
        <v>0</v>
      </c>
    </row>
    <row r="21" spans="1:11" ht="53.25">
      <c r="A21" s="99">
        <v>4</v>
      </c>
      <c r="B21" s="99" t="s">
        <v>296</v>
      </c>
      <c r="C21" s="98">
        <v>3</v>
      </c>
      <c r="D21" s="100">
        <v>2500</v>
      </c>
      <c r="E21" s="100">
        <v>1400</v>
      </c>
      <c r="F21" s="97" t="s">
        <v>355</v>
      </c>
      <c r="G21" s="97" t="s">
        <v>365</v>
      </c>
      <c r="H21" s="97" t="s">
        <v>357</v>
      </c>
      <c r="I21" s="97"/>
      <c r="J21" s="101">
        <v>0</v>
      </c>
      <c r="K21" s="101">
        <f t="shared" si="0"/>
        <v>0</v>
      </c>
    </row>
    <row r="22" spans="1:11" ht="53.25">
      <c r="A22" s="99">
        <v>5</v>
      </c>
      <c r="B22" s="99" t="s">
        <v>296</v>
      </c>
      <c r="C22" s="98">
        <v>8</v>
      </c>
      <c r="D22" s="100">
        <v>2200</v>
      </c>
      <c r="E22" s="100">
        <v>1400</v>
      </c>
      <c r="F22" s="97" t="s">
        <v>355</v>
      </c>
      <c r="G22" s="97" t="s">
        <v>366</v>
      </c>
      <c r="H22" s="97"/>
      <c r="I22" s="97"/>
      <c r="J22" s="101">
        <v>0</v>
      </c>
      <c r="K22" s="101">
        <f t="shared" si="0"/>
        <v>0</v>
      </c>
    </row>
    <row r="23" spans="1:11" ht="53.25">
      <c r="A23" s="99">
        <v>6</v>
      </c>
      <c r="B23" s="99" t="s">
        <v>296</v>
      </c>
      <c r="C23" s="98">
        <v>2</v>
      </c>
      <c r="D23" s="100">
        <v>900</v>
      </c>
      <c r="E23" s="100">
        <v>1400</v>
      </c>
      <c r="F23" s="97" t="s">
        <v>355</v>
      </c>
      <c r="G23" s="97" t="s">
        <v>356</v>
      </c>
      <c r="H23" s="97" t="s">
        <v>367</v>
      </c>
      <c r="I23" s="97"/>
      <c r="J23" s="101">
        <v>0</v>
      </c>
      <c r="K23" s="101">
        <f t="shared" si="0"/>
        <v>0</v>
      </c>
    </row>
    <row r="24" spans="1:11" ht="53.25">
      <c r="A24" s="99">
        <v>7</v>
      </c>
      <c r="B24" s="99" t="s">
        <v>296</v>
      </c>
      <c r="C24" s="98">
        <v>4</v>
      </c>
      <c r="D24" s="100">
        <v>5300</v>
      </c>
      <c r="E24" s="100">
        <v>2550</v>
      </c>
      <c r="F24" s="97" t="s">
        <v>355</v>
      </c>
      <c r="G24" s="97" t="s">
        <v>356</v>
      </c>
      <c r="H24" s="97"/>
      <c r="I24" s="97"/>
      <c r="J24" s="101">
        <v>0</v>
      </c>
      <c r="K24" s="101">
        <f t="shared" si="0"/>
        <v>0</v>
      </c>
    </row>
    <row r="25" spans="1:11" ht="78.75">
      <c r="A25" s="99">
        <v>8</v>
      </c>
      <c r="B25" s="99" t="s">
        <v>296</v>
      </c>
      <c r="C25" s="98">
        <v>2</v>
      </c>
      <c r="D25" s="100">
        <v>2580</v>
      </c>
      <c r="E25" s="100">
        <v>3100</v>
      </c>
      <c r="F25" s="97" t="s">
        <v>360</v>
      </c>
      <c r="G25" s="97" t="s">
        <v>361</v>
      </c>
      <c r="H25" s="97" t="s">
        <v>367</v>
      </c>
      <c r="I25" s="97" t="s">
        <v>362</v>
      </c>
      <c r="J25" s="101">
        <v>0</v>
      </c>
      <c r="K25" s="101">
        <f t="shared" si="0"/>
        <v>0</v>
      </c>
    </row>
    <row r="26" spans="1:11" ht="53.25">
      <c r="A26" s="99">
        <v>1</v>
      </c>
      <c r="B26" s="99" t="s">
        <v>306</v>
      </c>
      <c r="C26" s="98">
        <v>2</v>
      </c>
      <c r="D26" s="100">
        <v>2400</v>
      </c>
      <c r="E26" s="100">
        <v>2400</v>
      </c>
      <c r="F26" s="97" t="s">
        <v>355</v>
      </c>
      <c r="G26" s="97" t="s">
        <v>356</v>
      </c>
      <c r="H26" s="97" t="s">
        <v>357</v>
      </c>
      <c r="I26" s="97"/>
      <c r="J26" s="101">
        <v>0</v>
      </c>
      <c r="K26" s="101">
        <f t="shared" si="0"/>
        <v>0</v>
      </c>
    </row>
    <row r="27" spans="1:11" ht="53.25">
      <c r="A27" s="99">
        <v>2</v>
      </c>
      <c r="B27" s="99" t="s">
        <v>306</v>
      </c>
      <c r="C27" s="98">
        <v>1</v>
      </c>
      <c r="D27" s="100">
        <v>1200</v>
      </c>
      <c r="E27" s="100">
        <v>2400</v>
      </c>
      <c r="F27" s="97" t="s">
        <v>355</v>
      </c>
      <c r="G27" s="97" t="s">
        <v>356</v>
      </c>
      <c r="H27" s="97" t="s">
        <v>357</v>
      </c>
      <c r="I27" s="97"/>
      <c r="J27" s="101">
        <v>0</v>
      </c>
      <c r="K27" s="101">
        <f t="shared" si="0"/>
        <v>0</v>
      </c>
    </row>
    <row r="28" spans="1:11" ht="53.25">
      <c r="A28" s="99">
        <v>3</v>
      </c>
      <c r="B28" s="99" t="s">
        <v>306</v>
      </c>
      <c r="C28" s="98">
        <v>2</v>
      </c>
      <c r="D28" s="100">
        <v>2400</v>
      </c>
      <c r="E28" s="100">
        <v>1400</v>
      </c>
      <c r="F28" s="97" t="s">
        <v>355</v>
      </c>
      <c r="G28" s="97" t="s">
        <v>356</v>
      </c>
      <c r="H28" s="97"/>
      <c r="I28" s="97"/>
      <c r="J28" s="101">
        <v>0</v>
      </c>
      <c r="K28" s="101">
        <f t="shared" si="0"/>
        <v>0</v>
      </c>
    </row>
    <row r="29" spans="1:11" ht="53.25">
      <c r="A29" s="99">
        <v>4</v>
      </c>
      <c r="B29" s="99" t="s">
        <v>306</v>
      </c>
      <c r="C29" s="98">
        <v>1</v>
      </c>
      <c r="D29" s="100">
        <v>1200</v>
      </c>
      <c r="E29" s="100">
        <v>1400</v>
      </c>
      <c r="F29" s="97" t="s">
        <v>355</v>
      </c>
      <c r="G29" s="97" t="s">
        <v>356</v>
      </c>
      <c r="H29" s="97"/>
      <c r="I29" s="97"/>
      <c r="J29" s="101">
        <v>0</v>
      </c>
      <c r="K29" s="101">
        <f t="shared" si="0"/>
        <v>0</v>
      </c>
    </row>
    <row r="30" spans="1:11" ht="78.75">
      <c r="A30" s="99">
        <v>5</v>
      </c>
      <c r="B30" s="99" t="s">
        <v>306</v>
      </c>
      <c r="C30" s="98">
        <v>1</v>
      </c>
      <c r="D30" s="100">
        <v>2300</v>
      </c>
      <c r="E30" s="100">
        <v>2000</v>
      </c>
      <c r="F30" s="97" t="s">
        <v>360</v>
      </c>
      <c r="G30" s="97" t="s">
        <v>361</v>
      </c>
      <c r="H30" s="97"/>
      <c r="I30" s="97" t="s">
        <v>362</v>
      </c>
      <c r="J30" s="101">
        <v>0</v>
      </c>
      <c r="K30" s="101">
        <f t="shared" si="0"/>
        <v>0</v>
      </c>
    </row>
    <row r="31" spans="1:11" ht="66">
      <c r="A31" s="99">
        <v>6</v>
      </c>
      <c r="B31" s="99" t="s">
        <v>306</v>
      </c>
      <c r="C31" s="98">
        <v>1</v>
      </c>
      <c r="D31" s="100">
        <v>5360</v>
      </c>
      <c r="E31" s="100">
        <v>2400</v>
      </c>
      <c r="F31" s="97" t="s">
        <v>355</v>
      </c>
      <c r="G31" s="97" t="s">
        <v>368</v>
      </c>
      <c r="H31" s="97"/>
      <c r="I31" s="97"/>
      <c r="J31" s="101">
        <v>0</v>
      </c>
      <c r="K31" s="101">
        <f t="shared" si="0"/>
        <v>0</v>
      </c>
    </row>
    <row r="32" spans="1:11" ht="91.5">
      <c r="A32" s="99">
        <v>7</v>
      </c>
      <c r="B32" s="99" t="s">
        <v>306</v>
      </c>
      <c r="C32" s="98">
        <v>1</v>
      </c>
      <c r="D32" s="100">
        <v>5360</v>
      </c>
      <c r="E32" s="100">
        <v>3100</v>
      </c>
      <c r="F32" s="97" t="s">
        <v>379</v>
      </c>
      <c r="G32" s="97" t="s">
        <v>369</v>
      </c>
      <c r="H32" s="97" t="s">
        <v>367</v>
      </c>
      <c r="I32" s="97" t="s">
        <v>363</v>
      </c>
      <c r="J32" s="101">
        <v>0</v>
      </c>
      <c r="K32" s="101">
        <f t="shared" si="0"/>
        <v>0</v>
      </c>
    </row>
    <row r="33" spans="1:11" ht="66">
      <c r="A33" s="99">
        <v>8</v>
      </c>
      <c r="B33" s="99" t="s">
        <v>306</v>
      </c>
      <c r="C33" s="98">
        <v>2</v>
      </c>
      <c r="D33" s="100">
        <v>3600</v>
      </c>
      <c r="E33" s="100">
        <v>2500</v>
      </c>
      <c r="F33" s="97" t="s">
        <v>355</v>
      </c>
      <c r="G33" s="97" t="s">
        <v>370</v>
      </c>
      <c r="H33" s="97" t="s">
        <v>367</v>
      </c>
      <c r="I33" s="97"/>
      <c r="J33" s="101">
        <v>0</v>
      </c>
      <c r="K33" s="101">
        <f t="shared" si="0"/>
        <v>0</v>
      </c>
    </row>
    <row r="34" spans="1:11" ht="104.25">
      <c r="A34" s="99">
        <v>9</v>
      </c>
      <c r="B34" s="99" t="s">
        <v>306</v>
      </c>
      <c r="C34" s="98">
        <v>1</v>
      </c>
      <c r="D34" s="100">
        <v>2580</v>
      </c>
      <c r="E34" s="100">
        <v>3100</v>
      </c>
      <c r="F34" s="97" t="s">
        <v>360</v>
      </c>
      <c r="G34" s="97" t="s">
        <v>361</v>
      </c>
      <c r="H34" s="97"/>
      <c r="I34" s="97" t="s">
        <v>371</v>
      </c>
      <c r="J34" s="101">
        <v>0</v>
      </c>
      <c r="K34" s="101">
        <f t="shared" si="0"/>
        <v>0</v>
      </c>
    </row>
    <row r="35" spans="1:11" ht="78.75">
      <c r="A35" s="99">
        <v>10</v>
      </c>
      <c r="B35" s="99" t="s">
        <v>306</v>
      </c>
      <c r="C35" s="98">
        <v>1</v>
      </c>
      <c r="D35" s="100">
        <v>1040</v>
      </c>
      <c r="E35" s="100">
        <v>3120</v>
      </c>
      <c r="F35" s="97" t="s">
        <v>360</v>
      </c>
      <c r="G35" s="97" t="s">
        <v>361</v>
      </c>
      <c r="H35" s="97"/>
      <c r="I35" s="97" t="s">
        <v>372</v>
      </c>
      <c r="J35" s="101">
        <v>0</v>
      </c>
      <c r="K35" s="101">
        <f t="shared" si="0"/>
        <v>0</v>
      </c>
    </row>
    <row r="36" spans="1:11" ht="78.75">
      <c r="A36" s="99">
        <v>1</v>
      </c>
      <c r="B36" s="99" t="s">
        <v>373</v>
      </c>
      <c r="C36" s="98">
        <v>2</v>
      </c>
      <c r="D36" s="100">
        <v>1980</v>
      </c>
      <c r="E36" s="100">
        <v>1110</v>
      </c>
      <c r="F36" s="97" t="s">
        <v>374</v>
      </c>
      <c r="G36" s="97" t="s">
        <v>361</v>
      </c>
      <c r="H36" s="97"/>
      <c r="I36" s="97" t="s">
        <v>375</v>
      </c>
      <c r="J36" s="101">
        <v>0</v>
      </c>
      <c r="K36" s="101">
        <f t="shared" si="0"/>
        <v>0</v>
      </c>
    </row>
    <row r="37" spans="1:11" ht="43.5" customHeight="1">
      <c r="A37" s="99">
        <v>2</v>
      </c>
      <c r="B37" s="99" t="s">
        <v>373</v>
      </c>
      <c r="C37" s="98">
        <v>1</v>
      </c>
      <c r="D37" s="100">
        <v>2400</v>
      </c>
      <c r="E37" s="100">
        <v>2400</v>
      </c>
      <c r="F37" s="97" t="s">
        <v>355</v>
      </c>
      <c r="G37" s="97" t="s">
        <v>356</v>
      </c>
      <c r="H37" s="97"/>
      <c r="I37" s="97"/>
      <c r="J37" s="101">
        <v>0</v>
      </c>
      <c r="K37" s="101">
        <f t="shared" si="0"/>
        <v>0</v>
      </c>
    </row>
    <row r="38" spans="1:11" ht="45" customHeight="1">
      <c r="A38" s="99">
        <v>3</v>
      </c>
      <c r="B38" s="99" t="s">
        <v>373</v>
      </c>
      <c r="C38" s="98">
        <v>1</v>
      </c>
      <c r="D38" s="100">
        <v>1200</v>
      </c>
      <c r="E38" s="100">
        <v>2400</v>
      </c>
      <c r="F38" s="97" t="s">
        <v>355</v>
      </c>
      <c r="G38" s="97" t="s">
        <v>356</v>
      </c>
      <c r="H38" s="97"/>
      <c r="I38" s="97"/>
      <c r="J38" s="101">
        <v>0</v>
      </c>
      <c r="K38" s="101">
        <f t="shared" si="0"/>
        <v>0</v>
      </c>
    </row>
    <row r="39" spans="1:11" ht="23.25">
      <c r="A39" s="99"/>
      <c r="B39" s="99"/>
      <c r="C39" s="98"/>
      <c r="D39" s="100"/>
      <c r="E39" s="100"/>
      <c r="F39" s="97"/>
      <c r="G39" s="97"/>
      <c r="H39" s="116" t="s">
        <v>376</v>
      </c>
      <c r="I39" s="117"/>
      <c r="J39" s="118">
        <f>SUM(K5:K38)</f>
        <v>0</v>
      </c>
      <c r="K39" s="118"/>
    </row>
    <row r="40" spans="1:11" ht="24" thickBot="1">
      <c r="A40" s="99"/>
      <c r="B40" s="99"/>
      <c r="C40" s="98"/>
      <c r="D40" s="100"/>
      <c r="E40" s="100"/>
      <c r="F40" s="97"/>
      <c r="G40" s="97"/>
      <c r="H40" s="119" t="s">
        <v>377</v>
      </c>
      <c r="I40" s="120"/>
      <c r="J40" s="121">
        <v>0</v>
      </c>
      <c r="K40" s="121"/>
    </row>
    <row r="41" spans="1:11" ht="22.5" customHeight="1" thickBot="1">
      <c r="A41" s="99"/>
      <c r="B41" s="99"/>
      <c r="C41" s="98"/>
      <c r="D41" s="100"/>
      <c r="E41" s="100"/>
      <c r="F41" s="97"/>
      <c r="G41" s="97"/>
      <c r="H41" s="122" t="s">
        <v>378</v>
      </c>
      <c r="I41" s="123"/>
      <c r="J41" s="124">
        <f>SUM(J39:K40)</f>
        <v>0</v>
      </c>
      <c r="K41" s="125"/>
    </row>
    <row r="42" spans="1:11" ht="23.25">
      <c r="A42" s="102"/>
      <c r="B42" s="102"/>
      <c r="D42" s="104"/>
      <c r="E42" s="104"/>
    </row>
    <row r="43" spans="1:11" ht="23.25">
      <c r="A43" s="102"/>
      <c r="B43" s="102"/>
      <c r="D43" s="104"/>
      <c r="E43" s="104"/>
    </row>
    <row r="44" spans="1:11" ht="23.25">
      <c r="A44" s="102"/>
      <c r="B44" s="102"/>
      <c r="D44" s="104"/>
      <c r="E44" s="104"/>
    </row>
    <row r="45" spans="1:11" ht="23.25">
      <c r="A45" s="102"/>
      <c r="B45" s="102"/>
      <c r="D45" s="104"/>
      <c r="E45" s="104"/>
    </row>
    <row r="46" spans="1:11" ht="23.25">
      <c r="A46" s="102"/>
      <c r="B46" s="102"/>
      <c r="D46" s="104"/>
      <c r="E46" s="104"/>
    </row>
    <row r="47" spans="1:11" ht="23.25">
      <c r="A47" s="102"/>
      <c r="B47" s="102"/>
      <c r="D47" s="104"/>
      <c r="E47" s="104"/>
    </row>
    <row r="48" spans="1:11" ht="23.25">
      <c r="A48" s="102"/>
      <c r="B48" s="102"/>
      <c r="D48" s="104"/>
      <c r="E48" s="104"/>
    </row>
    <row r="49" spans="1:5" ht="23.25">
      <c r="A49" s="102"/>
      <c r="B49" s="102"/>
      <c r="D49" s="104"/>
      <c r="E49" s="104"/>
    </row>
    <row r="50" spans="1:5" ht="23.25">
      <c r="A50" s="102"/>
      <c r="B50" s="102"/>
      <c r="D50" s="104"/>
      <c r="E50" s="104"/>
    </row>
    <row r="51" spans="1:5" ht="23.25">
      <c r="A51" s="102"/>
      <c r="B51" s="102"/>
    </row>
    <row r="52" spans="1:5" ht="23.25">
      <c r="A52" s="102"/>
      <c r="B52" s="102"/>
    </row>
    <row r="53" spans="1:5" ht="23.25">
      <c r="A53" s="102"/>
      <c r="B53" s="102"/>
    </row>
    <row r="54" spans="1:5" ht="23.25">
      <c r="A54" s="102"/>
      <c r="B54" s="102"/>
    </row>
    <row r="55" spans="1:5" ht="23.25">
      <c r="A55" s="102"/>
      <c r="B55" s="102"/>
    </row>
    <row r="56" spans="1:5" ht="23.25">
      <c r="A56" s="102"/>
      <c r="B56" s="102"/>
    </row>
    <row r="57" spans="1:5" ht="23.25">
      <c r="A57" s="102"/>
      <c r="B57" s="102"/>
    </row>
    <row r="58" spans="1:5" ht="23.25">
      <c r="A58" s="102"/>
      <c r="B58" s="102"/>
    </row>
    <row r="59" spans="1:5" ht="23.25">
      <c r="A59" s="102"/>
      <c r="B59" s="102"/>
    </row>
    <row r="60" spans="1:5" ht="23.25">
      <c r="A60" s="102"/>
      <c r="B60" s="102"/>
    </row>
    <row r="61" spans="1:5" ht="23.25">
      <c r="A61" s="102"/>
      <c r="B61" s="102"/>
    </row>
    <row r="62" spans="1:5" ht="23.25">
      <c r="A62" s="102"/>
      <c r="B62" s="102"/>
    </row>
    <row r="63" spans="1:5" ht="23.25">
      <c r="A63" s="102"/>
      <c r="B63" s="102"/>
    </row>
    <row r="64" spans="1:5" ht="23.25">
      <c r="A64" s="102"/>
      <c r="B64" s="102"/>
    </row>
    <row r="65" spans="1:2" ht="23.25">
      <c r="A65" s="102"/>
      <c r="B65" s="102"/>
    </row>
    <row r="66" spans="1:2" ht="23.25">
      <c r="A66" s="102"/>
      <c r="B66" s="102"/>
    </row>
    <row r="67" spans="1:2" ht="23.25">
      <c r="A67" s="102"/>
      <c r="B67" s="102"/>
    </row>
    <row r="68" spans="1:2" ht="23.25">
      <c r="A68" s="102"/>
      <c r="B68" s="102"/>
    </row>
    <row r="69" spans="1:2" ht="23.25">
      <c r="A69" s="102"/>
      <c r="B69" s="102"/>
    </row>
    <row r="70" spans="1:2" ht="23.25">
      <c r="A70" s="102"/>
      <c r="B70" s="102"/>
    </row>
    <row r="71" spans="1:2" ht="23.25">
      <c r="A71" s="102"/>
      <c r="B71" s="102"/>
    </row>
    <row r="72" spans="1:2" ht="23.25">
      <c r="A72" s="102"/>
      <c r="B72" s="102"/>
    </row>
    <row r="73" spans="1:2" ht="23.25">
      <c r="A73" s="102"/>
      <c r="B73" s="102"/>
    </row>
    <row r="74" spans="1:2" ht="23.25">
      <c r="A74" s="102"/>
      <c r="B74" s="102"/>
    </row>
    <row r="75" spans="1:2" ht="23.25">
      <c r="A75" s="102"/>
      <c r="B75" s="102"/>
    </row>
    <row r="76" spans="1:2" ht="23.25">
      <c r="A76" s="102"/>
      <c r="B76" s="102"/>
    </row>
    <row r="77" spans="1:2" ht="23.25">
      <c r="A77" s="102"/>
      <c r="B77" s="102"/>
    </row>
    <row r="78" spans="1:2" ht="23.25">
      <c r="A78" s="102"/>
      <c r="B78" s="102"/>
    </row>
    <row r="79" spans="1:2" ht="23.25">
      <c r="A79" s="102"/>
      <c r="B79" s="102"/>
    </row>
    <row r="80" spans="1:2" ht="23.25">
      <c r="A80" s="102"/>
      <c r="B80" s="102"/>
    </row>
    <row r="81" spans="1:2" ht="23.25">
      <c r="A81" s="102"/>
      <c r="B81" s="102"/>
    </row>
    <row r="82" spans="1:2" ht="23.25">
      <c r="A82" s="102"/>
      <c r="B82" s="102"/>
    </row>
    <row r="83" spans="1:2" ht="23.25">
      <c r="A83" s="102"/>
      <c r="B83" s="102"/>
    </row>
    <row r="84" spans="1:2" ht="23.25">
      <c r="A84" s="102"/>
      <c r="B84" s="102"/>
    </row>
    <row r="85" spans="1:2" ht="23.25">
      <c r="A85" s="102"/>
      <c r="B85" s="102"/>
    </row>
    <row r="86" spans="1:2" ht="23.25">
      <c r="A86" s="102"/>
      <c r="B86" s="102"/>
    </row>
    <row r="87" spans="1:2" ht="23.25">
      <c r="A87" s="102"/>
      <c r="B87" s="102"/>
    </row>
    <row r="88" spans="1:2" ht="23.25">
      <c r="A88" s="102"/>
      <c r="B88" s="102"/>
    </row>
    <row r="89" spans="1:2" ht="23.25">
      <c r="A89" s="102"/>
      <c r="B89" s="102"/>
    </row>
    <row r="90" spans="1:2" ht="23.25">
      <c r="A90" s="102"/>
      <c r="B90" s="102"/>
    </row>
    <row r="91" spans="1:2" ht="23.25">
      <c r="A91" s="102"/>
      <c r="B91" s="102"/>
    </row>
    <row r="92" spans="1:2" ht="23.25">
      <c r="A92" s="102"/>
      <c r="B92" s="102"/>
    </row>
    <row r="93" spans="1:2" ht="23.25">
      <c r="A93" s="102"/>
      <c r="B93" s="102"/>
    </row>
    <row r="94" spans="1:2" ht="23.25">
      <c r="A94" s="102"/>
      <c r="B94" s="102"/>
    </row>
    <row r="95" spans="1:2" ht="23.25">
      <c r="A95" s="102"/>
      <c r="B95" s="102"/>
    </row>
    <row r="96" spans="1:2" ht="23.25">
      <c r="A96" s="102"/>
      <c r="B96" s="102"/>
    </row>
    <row r="97" spans="1:2" ht="23.25">
      <c r="A97" s="102"/>
      <c r="B97" s="102"/>
    </row>
    <row r="98" spans="1:2" ht="23.25">
      <c r="A98" s="102"/>
      <c r="B98" s="102"/>
    </row>
    <row r="99" spans="1:2" ht="23.25">
      <c r="A99" s="102"/>
      <c r="B99" s="102"/>
    </row>
    <row r="100" spans="1:2" ht="23.25">
      <c r="A100" s="102"/>
      <c r="B100" s="102"/>
    </row>
    <row r="101" spans="1:2" ht="23.25">
      <c r="A101" s="102"/>
      <c r="B101" s="102"/>
    </row>
    <row r="102" spans="1:2" ht="23.25">
      <c r="A102" s="102"/>
      <c r="B102" s="102"/>
    </row>
    <row r="103" spans="1:2" ht="23.25">
      <c r="A103" s="102"/>
      <c r="B103" s="102"/>
    </row>
    <row r="104" spans="1:2" ht="23.25">
      <c r="A104" s="102"/>
      <c r="B104" s="102"/>
    </row>
    <row r="105" spans="1:2" ht="23.25">
      <c r="A105" s="102"/>
      <c r="B105" s="102"/>
    </row>
    <row r="106" spans="1:2" ht="23.25">
      <c r="A106" s="102"/>
      <c r="B106" s="102"/>
    </row>
    <row r="107" spans="1:2" ht="23.25">
      <c r="A107" s="102"/>
      <c r="B107" s="102"/>
    </row>
    <row r="108" spans="1:2" ht="23.25">
      <c r="A108" s="102"/>
      <c r="B108" s="102"/>
    </row>
    <row r="109" spans="1:2" ht="23.25">
      <c r="A109" s="102"/>
      <c r="B109" s="102"/>
    </row>
    <row r="110" spans="1:2" ht="23.25">
      <c r="A110" s="102"/>
      <c r="B110" s="102"/>
    </row>
    <row r="111" spans="1:2" ht="23.25">
      <c r="A111" s="102"/>
      <c r="B111" s="102"/>
    </row>
    <row r="112" spans="1:2" ht="23.25">
      <c r="A112" s="102"/>
      <c r="B112" s="102"/>
    </row>
    <row r="113" spans="1:2" ht="23.25">
      <c r="A113" s="102"/>
      <c r="B113" s="102"/>
    </row>
    <row r="114" spans="1:2" ht="23.25">
      <c r="A114" s="102"/>
      <c r="B114" s="102"/>
    </row>
    <row r="115" spans="1:2" ht="23.25">
      <c r="A115" s="102"/>
      <c r="B115" s="102"/>
    </row>
    <row r="116" spans="1:2" ht="23.25">
      <c r="A116" s="102"/>
      <c r="B116" s="102"/>
    </row>
    <row r="117" spans="1:2" ht="23.25">
      <c r="A117" s="102"/>
      <c r="B117" s="102"/>
    </row>
    <row r="118" spans="1:2" ht="23.25">
      <c r="A118" s="102"/>
      <c r="B118" s="102"/>
    </row>
    <row r="119" spans="1:2" ht="23.25">
      <c r="A119" s="102"/>
      <c r="B119" s="102"/>
    </row>
    <row r="120" spans="1:2" ht="23.25">
      <c r="A120" s="102"/>
      <c r="B120" s="102"/>
    </row>
    <row r="121" spans="1:2" ht="23.25">
      <c r="A121" s="102"/>
      <c r="B121" s="102"/>
    </row>
    <row r="122" spans="1:2" ht="23.25">
      <c r="A122" s="102"/>
      <c r="B122" s="102"/>
    </row>
    <row r="123" spans="1:2" ht="23.25">
      <c r="A123" s="102"/>
      <c r="B123" s="102"/>
    </row>
    <row r="124" spans="1:2" ht="23.25">
      <c r="A124" s="102"/>
      <c r="B124" s="102"/>
    </row>
    <row r="125" spans="1:2" ht="23.25">
      <c r="A125" s="102"/>
      <c r="B125" s="102"/>
    </row>
    <row r="126" spans="1:2" ht="23.25">
      <c r="A126" s="102"/>
      <c r="B126" s="102"/>
    </row>
    <row r="127" spans="1:2" ht="23.25">
      <c r="A127" s="102"/>
      <c r="B127" s="102"/>
    </row>
    <row r="128" spans="1:2" ht="23.25">
      <c r="A128" s="102"/>
      <c r="B128" s="102"/>
    </row>
    <row r="129" spans="1:2" ht="23.25">
      <c r="A129" s="102"/>
      <c r="B129" s="102"/>
    </row>
    <row r="130" spans="1:2" ht="23.25">
      <c r="A130" s="102"/>
      <c r="B130" s="102"/>
    </row>
    <row r="131" spans="1:2" ht="23.25">
      <c r="A131" s="102"/>
      <c r="B131" s="102"/>
    </row>
    <row r="132" spans="1:2" ht="23.25">
      <c r="A132" s="102"/>
      <c r="B132" s="102"/>
    </row>
    <row r="133" spans="1:2" ht="23.25">
      <c r="A133" s="102"/>
      <c r="B133" s="102"/>
    </row>
    <row r="134" spans="1:2" ht="23.25">
      <c r="A134" s="102"/>
      <c r="B134" s="102"/>
    </row>
    <row r="135" spans="1:2" ht="23.25">
      <c r="A135" s="102"/>
      <c r="B135" s="102"/>
    </row>
    <row r="136" spans="1:2" ht="23.25">
      <c r="A136" s="102"/>
      <c r="B136" s="102"/>
    </row>
    <row r="137" spans="1:2" ht="23.25">
      <c r="A137" s="102"/>
      <c r="B137" s="102"/>
    </row>
    <row r="138" spans="1:2" ht="23.25">
      <c r="A138" s="102"/>
      <c r="B138" s="102"/>
    </row>
    <row r="139" spans="1:2" ht="23.25">
      <c r="A139" s="102"/>
      <c r="B139" s="102"/>
    </row>
    <row r="140" spans="1:2" ht="23.25">
      <c r="A140" s="102"/>
      <c r="B140" s="102"/>
    </row>
    <row r="141" spans="1:2" ht="23.25">
      <c r="A141" s="102"/>
      <c r="B141" s="102"/>
    </row>
    <row r="142" spans="1:2" ht="23.25">
      <c r="A142" s="102"/>
      <c r="B142" s="102"/>
    </row>
    <row r="143" spans="1:2" ht="23.25">
      <c r="A143" s="102"/>
      <c r="B143" s="102"/>
    </row>
    <row r="144" spans="1:2" ht="23.25">
      <c r="A144" s="102"/>
      <c r="B144" s="102"/>
    </row>
    <row r="145" spans="1:2" ht="23.25">
      <c r="A145" s="102"/>
      <c r="B145" s="102"/>
    </row>
    <row r="146" spans="1:2" ht="23.25">
      <c r="A146" s="102"/>
      <c r="B146" s="102"/>
    </row>
    <row r="147" spans="1:2" ht="23.25">
      <c r="A147" s="102"/>
      <c r="B147" s="102"/>
    </row>
    <row r="148" spans="1:2" ht="23.25">
      <c r="A148" s="102"/>
      <c r="B148" s="102"/>
    </row>
    <row r="149" spans="1:2" ht="23.25">
      <c r="A149" s="102"/>
      <c r="B149" s="102"/>
    </row>
    <row r="150" spans="1:2" ht="23.25">
      <c r="A150" s="102"/>
      <c r="B150" s="102"/>
    </row>
    <row r="151" spans="1:2" ht="23.25">
      <c r="A151" s="102"/>
      <c r="B151" s="102"/>
    </row>
    <row r="152" spans="1:2" ht="23.25">
      <c r="A152" s="102"/>
      <c r="B152" s="102"/>
    </row>
    <row r="153" spans="1:2" ht="23.25">
      <c r="A153" s="102"/>
      <c r="B153" s="102"/>
    </row>
    <row r="154" spans="1:2" ht="23.25">
      <c r="A154" s="102"/>
      <c r="B154" s="102"/>
    </row>
    <row r="155" spans="1:2" ht="23.25">
      <c r="A155" s="102"/>
      <c r="B155" s="102"/>
    </row>
    <row r="156" spans="1:2" ht="23.25">
      <c r="A156" s="102"/>
      <c r="B156" s="102"/>
    </row>
    <row r="157" spans="1:2" ht="23.25">
      <c r="A157" s="102"/>
      <c r="B157" s="102"/>
    </row>
    <row r="158" spans="1:2" ht="23.25">
      <c r="A158" s="102"/>
      <c r="B158" s="102"/>
    </row>
    <row r="159" spans="1:2" ht="23.25">
      <c r="A159" s="102"/>
      <c r="B159" s="102"/>
    </row>
    <row r="160" spans="1:2" ht="23.25">
      <c r="A160" s="102"/>
      <c r="B160" s="102"/>
    </row>
    <row r="161" spans="1:2" ht="23.25">
      <c r="A161" s="102"/>
      <c r="B161" s="102"/>
    </row>
    <row r="162" spans="1:2" ht="23.25">
      <c r="A162" s="102"/>
      <c r="B162" s="102"/>
    </row>
    <row r="163" spans="1:2" ht="23.25">
      <c r="A163" s="102"/>
      <c r="B163" s="102"/>
    </row>
    <row r="164" spans="1:2" ht="23.25">
      <c r="A164" s="102"/>
      <c r="B164" s="102"/>
    </row>
    <row r="165" spans="1:2" ht="23.25">
      <c r="A165" s="102"/>
      <c r="B165" s="102"/>
    </row>
    <row r="166" spans="1:2" ht="23.25">
      <c r="A166" s="102"/>
      <c r="B166" s="102"/>
    </row>
    <row r="167" spans="1:2" ht="23.25">
      <c r="A167" s="102"/>
      <c r="B167" s="102"/>
    </row>
    <row r="168" spans="1:2" ht="23.25">
      <c r="A168" s="102"/>
      <c r="B168" s="102"/>
    </row>
    <row r="169" spans="1:2" ht="23.25">
      <c r="A169" s="102"/>
      <c r="B169" s="102"/>
    </row>
    <row r="170" spans="1:2" ht="23.25">
      <c r="A170" s="102"/>
      <c r="B170" s="102"/>
    </row>
    <row r="171" spans="1:2" ht="23.25">
      <c r="A171" s="102"/>
      <c r="B171" s="102"/>
    </row>
    <row r="172" spans="1:2" ht="23.25">
      <c r="A172" s="102"/>
      <c r="B172" s="102"/>
    </row>
    <row r="173" spans="1:2" ht="23.25">
      <c r="A173" s="102"/>
      <c r="B173" s="102"/>
    </row>
    <row r="174" spans="1:2" ht="23.25">
      <c r="A174" s="102"/>
      <c r="B174" s="102"/>
    </row>
    <row r="175" spans="1:2" ht="23.25">
      <c r="A175" s="102"/>
      <c r="B175" s="102"/>
    </row>
    <row r="176" spans="1:2" ht="23.25">
      <c r="A176" s="102"/>
      <c r="B176" s="102"/>
    </row>
    <row r="177" spans="1:2" ht="23.25">
      <c r="A177" s="102"/>
      <c r="B177" s="102"/>
    </row>
    <row r="178" spans="1:2" ht="23.25">
      <c r="A178" s="102"/>
      <c r="B178" s="102"/>
    </row>
    <row r="179" spans="1:2" ht="23.25">
      <c r="A179" s="102"/>
      <c r="B179" s="102"/>
    </row>
    <row r="180" spans="1:2" ht="23.25">
      <c r="A180" s="102"/>
      <c r="B180" s="102"/>
    </row>
    <row r="181" spans="1:2" ht="23.25">
      <c r="A181" s="102"/>
      <c r="B181" s="102"/>
    </row>
    <row r="182" spans="1:2" ht="23.25">
      <c r="A182" s="102"/>
      <c r="B182" s="102"/>
    </row>
    <row r="183" spans="1:2" ht="23.25">
      <c r="A183" s="102"/>
      <c r="B183" s="102"/>
    </row>
    <row r="184" spans="1:2" ht="23.25">
      <c r="A184" s="102"/>
      <c r="B184" s="102"/>
    </row>
    <row r="185" spans="1:2" ht="23.25">
      <c r="A185" s="102"/>
      <c r="B185" s="102"/>
    </row>
    <row r="186" spans="1:2" ht="23.25">
      <c r="A186" s="102"/>
      <c r="B186" s="102"/>
    </row>
    <row r="187" spans="1:2" ht="23.25">
      <c r="A187" s="102"/>
      <c r="B187" s="102"/>
    </row>
    <row r="188" spans="1:2" ht="23.25">
      <c r="A188" s="102"/>
      <c r="B188" s="102"/>
    </row>
    <row r="189" spans="1:2" ht="23.25">
      <c r="A189" s="102"/>
      <c r="B189" s="102"/>
    </row>
    <row r="190" spans="1:2" ht="23.25">
      <c r="A190" s="102"/>
      <c r="B190" s="102"/>
    </row>
    <row r="191" spans="1:2" ht="23.25">
      <c r="A191" s="102"/>
      <c r="B191" s="102"/>
    </row>
    <row r="192" spans="1:2" ht="23.25">
      <c r="A192" s="102"/>
      <c r="B192" s="102"/>
    </row>
    <row r="193" spans="1:2" ht="23.25">
      <c r="A193" s="102"/>
      <c r="B193" s="102"/>
    </row>
    <row r="194" spans="1:2" ht="23.25">
      <c r="A194" s="102"/>
      <c r="B194" s="102"/>
    </row>
    <row r="195" spans="1:2" ht="23.25">
      <c r="A195" s="102"/>
      <c r="B195" s="102"/>
    </row>
    <row r="196" spans="1:2" ht="23.25">
      <c r="A196" s="102"/>
      <c r="B196" s="102"/>
    </row>
    <row r="197" spans="1:2" ht="23.25">
      <c r="A197" s="102"/>
      <c r="B197" s="102"/>
    </row>
    <row r="198" spans="1:2" ht="23.25">
      <c r="A198" s="102"/>
      <c r="B198" s="102"/>
    </row>
    <row r="199" spans="1:2" ht="23.25">
      <c r="A199" s="102"/>
      <c r="B199" s="102"/>
    </row>
    <row r="200" spans="1:2" ht="23.25">
      <c r="A200" s="102"/>
      <c r="B200" s="102"/>
    </row>
    <row r="201" spans="1:2" ht="23.25">
      <c r="A201" s="102"/>
      <c r="B201" s="102"/>
    </row>
    <row r="202" spans="1:2" ht="23.25">
      <c r="A202" s="102"/>
      <c r="B202" s="102"/>
    </row>
    <row r="203" spans="1:2" ht="23.25">
      <c r="A203" s="102"/>
      <c r="B203" s="102"/>
    </row>
    <row r="204" spans="1:2" ht="23.25">
      <c r="A204" s="102"/>
      <c r="B204" s="102"/>
    </row>
    <row r="205" spans="1:2" ht="23.25">
      <c r="A205" s="102"/>
      <c r="B205" s="102"/>
    </row>
    <row r="206" spans="1:2" ht="23.25">
      <c r="A206" s="102"/>
      <c r="B206" s="102"/>
    </row>
    <row r="207" spans="1:2" ht="23.25">
      <c r="A207" s="102"/>
      <c r="B207" s="102"/>
    </row>
    <row r="208" spans="1:2" ht="23.25">
      <c r="A208" s="102"/>
      <c r="B208" s="102"/>
    </row>
    <row r="209" spans="1:2" ht="23.25">
      <c r="A209" s="102"/>
      <c r="B209" s="102"/>
    </row>
    <row r="210" spans="1:2" ht="23.25">
      <c r="A210" s="102"/>
      <c r="B210" s="102"/>
    </row>
    <row r="211" spans="1:2" ht="23.25">
      <c r="A211" s="102"/>
      <c r="B211" s="102"/>
    </row>
    <row r="212" spans="1:2" ht="23.25">
      <c r="A212" s="102"/>
      <c r="B212" s="102"/>
    </row>
    <row r="213" spans="1:2" ht="23.25">
      <c r="A213" s="102"/>
      <c r="B213" s="102"/>
    </row>
    <row r="214" spans="1:2" ht="23.25">
      <c r="A214" s="102"/>
      <c r="B214" s="102"/>
    </row>
    <row r="215" spans="1:2" ht="23.25">
      <c r="A215" s="102"/>
      <c r="B215" s="102"/>
    </row>
    <row r="216" spans="1:2" ht="23.25">
      <c r="A216" s="102"/>
      <c r="B216" s="102"/>
    </row>
    <row r="217" spans="1:2" ht="23.25">
      <c r="A217" s="102"/>
      <c r="B217" s="102"/>
    </row>
    <row r="218" spans="1:2" ht="23.25">
      <c r="A218" s="102"/>
      <c r="B218" s="102"/>
    </row>
    <row r="219" spans="1:2" ht="23.25">
      <c r="A219" s="102"/>
      <c r="B219" s="102"/>
    </row>
    <row r="220" spans="1:2" ht="23.25">
      <c r="A220" s="102"/>
      <c r="B220" s="102"/>
    </row>
    <row r="221" spans="1:2" ht="23.25">
      <c r="A221" s="102"/>
      <c r="B221" s="102"/>
    </row>
    <row r="222" spans="1:2" ht="23.25">
      <c r="A222" s="102"/>
      <c r="B222" s="102"/>
    </row>
    <row r="223" spans="1:2" ht="23.25">
      <c r="A223" s="102"/>
      <c r="B223" s="102"/>
    </row>
    <row r="224" spans="1:2" ht="23.25">
      <c r="A224" s="102"/>
      <c r="B224" s="102"/>
    </row>
    <row r="225" spans="1:2" ht="23.25">
      <c r="A225" s="102"/>
      <c r="B225" s="102"/>
    </row>
    <row r="226" spans="1:2" ht="23.25">
      <c r="A226" s="102"/>
      <c r="B226" s="102"/>
    </row>
    <row r="227" spans="1:2" ht="23.25">
      <c r="A227" s="102"/>
      <c r="B227" s="102"/>
    </row>
    <row r="228" spans="1:2" ht="23.25">
      <c r="A228" s="102"/>
      <c r="B228" s="102"/>
    </row>
    <row r="229" spans="1:2" ht="23.25">
      <c r="A229" s="102"/>
      <c r="B229" s="102"/>
    </row>
    <row r="230" spans="1:2" ht="23.25">
      <c r="A230" s="102"/>
      <c r="B230" s="102"/>
    </row>
    <row r="231" spans="1:2" ht="23.25">
      <c r="A231" s="102"/>
      <c r="B231" s="102"/>
    </row>
    <row r="232" spans="1:2" ht="23.25">
      <c r="A232" s="102"/>
      <c r="B232" s="102"/>
    </row>
    <row r="233" spans="1:2" ht="23.25">
      <c r="A233" s="102"/>
      <c r="B233" s="102"/>
    </row>
    <row r="234" spans="1:2" ht="23.25">
      <c r="A234" s="102"/>
      <c r="B234" s="102"/>
    </row>
    <row r="235" spans="1:2" ht="23.25">
      <c r="A235" s="102"/>
      <c r="B235" s="102"/>
    </row>
    <row r="236" spans="1:2" ht="23.25">
      <c r="A236" s="102"/>
      <c r="B236" s="102"/>
    </row>
    <row r="237" spans="1:2" ht="23.25">
      <c r="A237" s="102"/>
      <c r="B237" s="102"/>
    </row>
    <row r="238" spans="1:2" ht="23.25">
      <c r="A238" s="102"/>
      <c r="B238" s="102"/>
    </row>
    <row r="239" spans="1:2" ht="23.25">
      <c r="A239" s="102"/>
      <c r="B239" s="102"/>
    </row>
    <row r="240" spans="1:2" ht="23.25">
      <c r="A240" s="102"/>
      <c r="B240" s="102"/>
    </row>
    <row r="241" spans="1:2" ht="23.25">
      <c r="A241" s="102"/>
      <c r="B241" s="102"/>
    </row>
    <row r="242" spans="1:2" ht="23.25">
      <c r="A242" s="102"/>
      <c r="B242" s="102"/>
    </row>
    <row r="243" spans="1:2" ht="23.25">
      <c r="A243" s="102"/>
      <c r="B243" s="102"/>
    </row>
    <row r="244" spans="1:2" ht="23.25">
      <c r="A244" s="102"/>
      <c r="B244" s="102"/>
    </row>
    <row r="245" spans="1:2" ht="23.25">
      <c r="A245" s="102"/>
      <c r="B245" s="102"/>
    </row>
    <row r="246" spans="1:2" ht="23.25">
      <c r="A246" s="102"/>
      <c r="B246" s="102"/>
    </row>
    <row r="247" spans="1:2" ht="23.25">
      <c r="A247" s="102"/>
      <c r="B247" s="102"/>
    </row>
    <row r="248" spans="1:2" ht="23.25">
      <c r="A248" s="102"/>
      <c r="B248" s="102"/>
    </row>
    <row r="249" spans="1:2" ht="23.25">
      <c r="A249" s="102"/>
      <c r="B249" s="102"/>
    </row>
    <row r="250" spans="1:2" ht="23.25">
      <c r="A250" s="102"/>
      <c r="B250" s="102"/>
    </row>
    <row r="251" spans="1:2" ht="23.25">
      <c r="A251" s="102"/>
      <c r="B251" s="102"/>
    </row>
    <row r="252" spans="1:2" ht="23.25">
      <c r="A252" s="102"/>
      <c r="B252" s="102"/>
    </row>
    <row r="253" spans="1:2" ht="23.25">
      <c r="A253" s="102"/>
      <c r="B253" s="102"/>
    </row>
    <row r="254" spans="1:2" ht="23.25">
      <c r="A254" s="102"/>
      <c r="B254" s="102"/>
    </row>
    <row r="255" spans="1:2" ht="23.25">
      <c r="A255" s="102"/>
      <c r="B255" s="102"/>
    </row>
    <row r="256" spans="1:2" ht="23.25">
      <c r="A256" s="102"/>
      <c r="B256" s="102"/>
    </row>
    <row r="257" spans="1:2" ht="23.25">
      <c r="A257" s="102"/>
      <c r="B257" s="102"/>
    </row>
    <row r="258" spans="1:2" ht="23.25">
      <c r="A258" s="102"/>
      <c r="B258" s="102"/>
    </row>
    <row r="259" spans="1:2" ht="23.25">
      <c r="A259" s="102"/>
      <c r="B259" s="102"/>
    </row>
    <row r="260" spans="1:2" ht="23.25">
      <c r="A260" s="102"/>
      <c r="B260" s="102"/>
    </row>
    <row r="261" spans="1:2" ht="23.25">
      <c r="A261" s="102"/>
      <c r="B261" s="102"/>
    </row>
    <row r="262" spans="1:2" ht="23.25">
      <c r="A262" s="102"/>
      <c r="B262" s="102"/>
    </row>
    <row r="263" spans="1:2" ht="23.25">
      <c r="A263" s="102"/>
      <c r="B263" s="102"/>
    </row>
    <row r="264" spans="1:2" ht="23.25">
      <c r="A264" s="102"/>
      <c r="B264" s="102"/>
    </row>
    <row r="265" spans="1:2" ht="23.25">
      <c r="A265" s="102"/>
      <c r="B265" s="102"/>
    </row>
    <row r="266" spans="1:2" ht="23.25">
      <c r="A266" s="102"/>
      <c r="B266" s="102"/>
    </row>
    <row r="267" spans="1:2" ht="23.25">
      <c r="A267" s="102"/>
      <c r="B267" s="102"/>
    </row>
    <row r="268" spans="1:2" ht="23.25">
      <c r="A268" s="102"/>
      <c r="B268" s="102"/>
    </row>
    <row r="269" spans="1:2" ht="23.25">
      <c r="A269" s="102"/>
      <c r="B269" s="102"/>
    </row>
    <row r="270" spans="1:2" ht="23.25">
      <c r="A270" s="102"/>
      <c r="B270" s="102"/>
    </row>
    <row r="271" spans="1:2" ht="23.25">
      <c r="A271" s="102"/>
      <c r="B271" s="102"/>
    </row>
    <row r="272" spans="1:2" ht="23.25">
      <c r="A272" s="102"/>
      <c r="B272" s="102"/>
    </row>
    <row r="273" spans="1:2" ht="23.25">
      <c r="A273" s="102"/>
      <c r="B273" s="102"/>
    </row>
    <row r="274" spans="1:2" ht="23.25">
      <c r="A274" s="102"/>
      <c r="B274" s="102"/>
    </row>
    <row r="275" spans="1:2" ht="23.25">
      <c r="A275" s="102"/>
      <c r="B275" s="102"/>
    </row>
    <row r="276" spans="1:2" ht="23.25">
      <c r="A276" s="102"/>
      <c r="B276" s="102"/>
    </row>
    <row r="277" spans="1:2" ht="23.25">
      <c r="A277" s="102"/>
      <c r="B277" s="102"/>
    </row>
    <row r="278" spans="1:2" ht="23.25">
      <c r="A278" s="102"/>
      <c r="B278" s="102"/>
    </row>
    <row r="279" spans="1:2" ht="23.25">
      <c r="A279" s="102"/>
      <c r="B279" s="102"/>
    </row>
    <row r="280" spans="1:2" ht="23.25">
      <c r="A280" s="102"/>
      <c r="B280" s="102"/>
    </row>
    <row r="281" spans="1:2" ht="23.25">
      <c r="A281" s="102"/>
      <c r="B281" s="102"/>
    </row>
    <row r="282" spans="1:2" ht="23.25">
      <c r="A282" s="102"/>
      <c r="B282" s="102"/>
    </row>
    <row r="283" spans="1:2" ht="23.25">
      <c r="A283" s="102"/>
      <c r="B283" s="102"/>
    </row>
    <row r="284" spans="1:2" ht="23.25">
      <c r="A284" s="102"/>
      <c r="B284" s="102"/>
    </row>
    <row r="285" spans="1:2" ht="23.25">
      <c r="A285" s="102"/>
      <c r="B285" s="102"/>
    </row>
    <row r="286" spans="1:2" ht="23.25">
      <c r="A286" s="102"/>
      <c r="B286" s="102"/>
    </row>
    <row r="287" spans="1:2" ht="23.25">
      <c r="A287" s="102"/>
      <c r="B287" s="102"/>
    </row>
    <row r="288" spans="1:2" ht="23.25">
      <c r="A288" s="102"/>
      <c r="B288" s="102"/>
    </row>
    <row r="289" spans="1:2" ht="23.25">
      <c r="A289" s="102"/>
      <c r="B289" s="102"/>
    </row>
    <row r="290" spans="1:2" ht="23.25">
      <c r="A290" s="102"/>
      <c r="B290" s="102"/>
    </row>
    <row r="291" spans="1:2" ht="23.25">
      <c r="A291" s="102"/>
      <c r="B291" s="102"/>
    </row>
    <row r="292" spans="1:2" ht="23.25">
      <c r="A292" s="102"/>
      <c r="B292" s="102"/>
    </row>
    <row r="293" spans="1:2" ht="23.25">
      <c r="A293" s="102"/>
      <c r="B293" s="102"/>
    </row>
    <row r="294" spans="1:2" ht="23.25">
      <c r="A294" s="102"/>
      <c r="B294" s="102"/>
    </row>
    <row r="295" spans="1:2" ht="23.25">
      <c r="A295" s="102"/>
      <c r="B295" s="102"/>
    </row>
    <row r="296" spans="1:2" ht="23.25">
      <c r="A296" s="102"/>
      <c r="B296" s="102"/>
    </row>
    <row r="297" spans="1:2" ht="23.25">
      <c r="A297" s="102"/>
      <c r="B297" s="102"/>
    </row>
    <row r="298" spans="1:2" ht="23.25">
      <c r="A298" s="102"/>
      <c r="B298" s="102"/>
    </row>
    <row r="299" spans="1:2" ht="23.25">
      <c r="A299" s="102"/>
      <c r="B299" s="102"/>
    </row>
    <row r="300" spans="1:2" ht="23.25">
      <c r="A300" s="102"/>
      <c r="B300" s="102"/>
    </row>
    <row r="301" spans="1:2" ht="23.25">
      <c r="A301" s="102"/>
      <c r="B301" s="102"/>
    </row>
    <row r="302" spans="1:2" ht="23.25">
      <c r="A302" s="102"/>
      <c r="B302" s="102"/>
    </row>
    <row r="303" spans="1:2" ht="23.25">
      <c r="A303" s="102"/>
      <c r="B303" s="102"/>
    </row>
    <row r="304" spans="1:2" ht="23.25">
      <c r="A304" s="102"/>
      <c r="B304" s="102"/>
    </row>
    <row r="305" spans="1:2" ht="23.25">
      <c r="A305" s="102"/>
      <c r="B305" s="102"/>
    </row>
    <row r="306" spans="1:2" ht="23.25">
      <c r="A306" s="102"/>
      <c r="B306" s="102"/>
    </row>
    <row r="307" spans="1:2" ht="23.25">
      <c r="A307" s="102"/>
      <c r="B307" s="102"/>
    </row>
    <row r="308" spans="1:2" ht="23.25">
      <c r="A308" s="102"/>
      <c r="B308" s="102"/>
    </row>
    <row r="309" spans="1:2" ht="23.25">
      <c r="A309" s="102"/>
      <c r="B309" s="102"/>
    </row>
    <row r="310" spans="1:2" ht="23.25">
      <c r="A310" s="102"/>
      <c r="B310" s="102"/>
    </row>
    <row r="311" spans="1:2" ht="23.25">
      <c r="A311" s="102"/>
      <c r="B311" s="102"/>
    </row>
    <row r="312" spans="1:2" ht="23.25">
      <c r="A312" s="102"/>
      <c r="B312" s="102"/>
    </row>
    <row r="313" spans="1:2" ht="23.25">
      <c r="A313" s="102"/>
      <c r="B313" s="102"/>
    </row>
    <row r="314" spans="1:2" ht="23.25">
      <c r="A314" s="102"/>
      <c r="B314" s="102"/>
    </row>
    <row r="315" spans="1:2" ht="23.25">
      <c r="A315" s="102"/>
      <c r="B315" s="102"/>
    </row>
    <row r="316" spans="1:2" ht="23.25">
      <c r="A316" s="102"/>
      <c r="B316" s="102"/>
    </row>
    <row r="317" spans="1:2" ht="23.25">
      <c r="A317" s="102"/>
      <c r="B317" s="102"/>
    </row>
    <row r="318" spans="1:2" ht="23.25">
      <c r="A318" s="102"/>
      <c r="B318" s="102"/>
    </row>
    <row r="319" spans="1:2" ht="23.25">
      <c r="A319" s="102"/>
      <c r="B319" s="102"/>
    </row>
    <row r="320" spans="1:2" ht="23.25">
      <c r="A320" s="102"/>
      <c r="B320" s="102"/>
    </row>
    <row r="321" spans="1:2" ht="23.25">
      <c r="A321" s="102"/>
      <c r="B321" s="102"/>
    </row>
    <row r="322" spans="1:2" ht="23.25">
      <c r="A322" s="102"/>
      <c r="B322" s="102"/>
    </row>
    <row r="323" spans="1:2" ht="23.25">
      <c r="A323" s="102"/>
      <c r="B323" s="102"/>
    </row>
    <row r="324" spans="1:2" ht="23.25">
      <c r="A324" s="102"/>
      <c r="B324" s="102"/>
    </row>
    <row r="325" spans="1:2" ht="23.25">
      <c r="A325" s="102"/>
      <c r="B325" s="102"/>
    </row>
    <row r="326" spans="1:2" ht="23.25">
      <c r="A326" s="102"/>
      <c r="B326" s="102"/>
    </row>
    <row r="327" spans="1:2" ht="23.25">
      <c r="A327" s="102"/>
      <c r="B327" s="102"/>
    </row>
    <row r="328" spans="1:2" ht="23.25">
      <c r="A328" s="102"/>
      <c r="B328" s="102"/>
    </row>
    <row r="329" spans="1:2" ht="23.25">
      <c r="A329" s="102"/>
      <c r="B329" s="102"/>
    </row>
    <row r="330" spans="1:2" ht="23.25">
      <c r="A330" s="102"/>
      <c r="B330" s="102"/>
    </row>
    <row r="331" spans="1:2" ht="23.25">
      <c r="A331" s="102"/>
      <c r="B331" s="102"/>
    </row>
    <row r="332" spans="1:2" ht="23.25">
      <c r="A332" s="102"/>
      <c r="B332" s="102"/>
    </row>
    <row r="333" spans="1:2" ht="23.25">
      <c r="A333" s="102"/>
      <c r="B333" s="102"/>
    </row>
    <row r="334" spans="1:2" ht="23.25">
      <c r="A334" s="102"/>
      <c r="B334" s="102"/>
    </row>
    <row r="335" spans="1:2" ht="23.25">
      <c r="A335" s="102"/>
      <c r="B335" s="102"/>
    </row>
    <row r="336" spans="1:2" ht="23.25">
      <c r="A336" s="102"/>
      <c r="B336" s="102"/>
    </row>
    <row r="337" spans="1:2" ht="23.25">
      <c r="A337" s="102"/>
      <c r="B337" s="102"/>
    </row>
    <row r="338" spans="1:2" ht="23.25">
      <c r="A338" s="102"/>
      <c r="B338" s="102"/>
    </row>
    <row r="339" spans="1:2" ht="23.25">
      <c r="A339" s="102"/>
      <c r="B339" s="102"/>
    </row>
    <row r="340" spans="1:2" ht="23.25">
      <c r="A340" s="102"/>
      <c r="B340" s="102"/>
    </row>
    <row r="341" spans="1:2" ht="23.25">
      <c r="A341" s="102"/>
      <c r="B341" s="102"/>
    </row>
    <row r="342" spans="1:2" ht="23.25">
      <c r="A342" s="102"/>
      <c r="B342" s="102"/>
    </row>
    <row r="343" spans="1:2" ht="23.25">
      <c r="A343" s="102"/>
      <c r="B343" s="102"/>
    </row>
    <row r="344" spans="1:2" ht="23.25">
      <c r="A344" s="102"/>
      <c r="B344" s="102"/>
    </row>
    <row r="345" spans="1:2" ht="23.25">
      <c r="A345" s="102"/>
      <c r="B345" s="102"/>
    </row>
    <row r="346" spans="1:2" ht="23.25">
      <c r="A346" s="102"/>
      <c r="B346" s="102"/>
    </row>
    <row r="347" spans="1:2" ht="23.25">
      <c r="A347" s="102"/>
      <c r="B347" s="102"/>
    </row>
    <row r="348" spans="1:2" ht="23.25">
      <c r="A348" s="102"/>
      <c r="B348" s="102"/>
    </row>
    <row r="349" spans="1:2" ht="23.25">
      <c r="A349" s="102"/>
      <c r="B349" s="102"/>
    </row>
    <row r="350" spans="1:2" ht="23.25">
      <c r="A350" s="102"/>
      <c r="B350" s="102"/>
    </row>
    <row r="351" spans="1:2" ht="23.25">
      <c r="A351" s="102"/>
      <c r="B351" s="102"/>
    </row>
    <row r="352" spans="1:2" ht="23.25">
      <c r="A352" s="102"/>
      <c r="B352" s="102"/>
    </row>
    <row r="353" spans="1:2" ht="23.25">
      <c r="A353" s="102"/>
      <c r="B353" s="102"/>
    </row>
    <row r="354" spans="1:2" ht="23.25">
      <c r="A354" s="102"/>
      <c r="B354" s="102"/>
    </row>
    <row r="355" spans="1:2" ht="23.25">
      <c r="A355" s="102"/>
      <c r="B355" s="102"/>
    </row>
    <row r="356" spans="1:2" ht="23.25">
      <c r="A356" s="102"/>
      <c r="B356" s="102"/>
    </row>
    <row r="357" spans="1:2" ht="23.25">
      <c r="A357" s="102"/>
      <c r="B357" s="102"/>
    </row>
    <row r="358" spans="1:2" ht="23.25">
      <c r="A358" s="102"/>
      <c r="B358" s="102"/>
    </row>
    <row r="359" spans="1:2" ht="23.25">
      <c r="A359" s="102"/>
      <c r="B359" s="102"/>
    </row>
    <row r="360" spans="1:2" ht="23.25">
      <c r="A360" s="102"/>
      <c r="B360" s="102"/>
    </row>
    <row r="361" spans="1:2" ht="23.25">
      <c r="A361" s="102"/>
      <c r="B361" s="102"/>
    </row>
    <row r="362" spans="1:2" ht="23.25">
      <c r="A362" s="102"/>
      <c r="B362" s="102"/>
    </row>
    <row r="363" spans="1:2" ht="23.25">
      <c r="A363" s="102"/>
      <c r="B363" s="102"/>
    </row>
    <row r="364" spans="1:2" ht="23.25">
      <c r="A364" s="102"/>
      <c r="B364" s="102"/>
    </row>
    <row r="365" spans="1:2" ht="23.25">
      <c r="A365" s="102"/>
      <c r="B365" s="102"/>
    </row>
    <row r="366" spans="1:2" ht="23.25">
      <c r="A366" s="102"/>
      <c r="B366" s="102"/>
    </row>
    <row r="367" spans="1:2" ht="23.25">
      <c r="A367" s="102"/>
      <c r="B367" s="102"/>
    </row>
    <row r="368" spans="1:2" ht="23.25">
      <c r="A368" s="102"/>
      <c r="B368" s="102"/>
    </row>
    <row r="369" spans="1:2" ht="23.25">
      <c r="A369" s="102"/>
      <c r="B369" s="102"/>
    </row>
    <row r="370" spans="1:2" ht="23.25">
      <c r="A370" s="102"/>
      <c r="B370" s="102"/>
    </row>
    <row r="371" spans="1:2" ht="23.25">
      <c r="A371" s="102"/>
      <c r="B371" s="102"/>
    </row>
    <row r="372" spans="1:2" ht="23.25">
      <c r="A372" s="102"/>
      <c r="B372" s="102"/>
    </row>
    <row r="373" spans="1:2" ht="23.25">
      <c r="A373" s="102"/>
      <c r="B373" s="102"/>
    </row>
    <row r="374" spans="1:2" ht="23.25">
      <c r="A374" s="102"/>
      <c r="B374" s="102"/>
    </row>
    <row r="375" spans="1:2" ht="23.25">
      <c r="A375" s="102"/>
      <c r="B375" s="102"/>
    </row>
    <row r="376" spans="1:2" ht="23.25">
      <c r="A376" s="102"/>
      <c r="B376" s="102"/>
    </row>
    <row r="377" spans="1:2" ht="23.25">
      <c r="A377" s="102"/>
      <c r="B377" s="102"/>
    </row>
    <row r="378" spans="1:2" ht="23.25">
      <c r="A378" s="102"/>
      <c r="B378" s="102"/>
    </row>
    <row r="379" spans="1:2" ht="23.25">
      <c r="A379" s="102"/>
      <c r="B379" s="102"/>
    </row>
    <row r="380" spans="1:2" ht="23.25">
      <c r="A380" s="102"/>
      <c r="B380" s="102"/>
    </row>
    <row r="381" spans="1:2" ht="23.25">
      <c r="A381" s="102"/>
      <c r="B381" s="102"/>
    </row>
    <row r="382" spans="1:2" ht="23.25">
      <c r="A382" s="102"/>
      <c r="B382" s="102"/>
    </row>
    <row r="383" spans="1:2" ht="23.25">
      <c r="A383" s="102"/>
      <c r="B383" s="102"/>
    </row>
    <row r="384" spans="1:2" ht="23.25">
      <c r="A384" s="102"/>
      <c r="B384" s="102"/>
    </row>
    <row r="385" spans="1:2" ht="23.25">
      <c r="A385" s="102"/>
      <c r="B385" s="102"/>
    </row>
    <row r="386" spans="1:2" ht="23.25">
      <c r="A386" s="102"/>
      <c r="B386" s="102"/>
    </row>
    <row r="387" spans="1:2" ht="23.25">
      <c r="A387" s="102"/>
      <c r="B387" s="102"/>
    </row>
    <row r="388" spans="1:2" ht="23.25">
      <c r="A388" s="102"/>
      <c r="B388" s="102"/>
    </row>
    <row r="389" spans="1:2" ht="23.25">
      <c r="A389" s="102"/>
      <c r="B389" s="102"/>
    </row>
    <row r="390" spans="1:2" ht="23.25">
      <c r="A390" s="102"/>
      <c r="B390" s="102"/>
    </row>
    <row r="391" spans="1:2" ht="23.25">
      <c r="A391" s="102"/>
      <c r="B391" s="102"/>
    </row>
    <row r="392" spans="1:2" ht="23.25">
      <c r="A392" s="102"/>
      <c r="B392" s="102"/>
    </row>
    <row r="393" spans="1:2" ht="23.25">
      <c r="A393" s="102"/>
      <c r="B393" s="102"/>
    </row>
    <row r="394" spans="1:2" ht="23.25">
      <c r="A394" s="102"/>
      <c r="B394" s="102"/>
    </row>
    <row r="395" spans="1:2" ht="23.25">
      <c r="A395" s="102"/>
      <c r="B395" s="102"/>
    </row>
    <row r="396" spans="1:2" ht="23.25">
      <c r="A396" s="102"/>
      <c r="B396" s="102"/>
    </row>
    <row r="397" spans="1:2" ht="26.25">
      <c r="A397" s="105"/>
      <c r="B397" s="105"/>
    </row>
    <row r="398" spans="1:2" ht="26.25">
      <c r="A398" s="105"/>
      <c r="B398" s="105"/>
    </row>
    <row r="399" spans="1:2" ht="26.25">
      <c r="A399" s="105"/>
      <c r="B399" s="105"/>
    </row>
    <row r="400" spans="1:2" ht="26.25">
      <c r="A400" s="105"/>
      <c r="B400" s="105"/>
    </row>
    <row r="401" spans="1:2" ht="26.25">
      <c r="A401" s="105"/>
      <c r="B401" s="105"/>
    </row>
    <row r="402" spans="1:2" ht="26.25">
      <c r="A402" s="105"/>
      <c r="B402" s="105"/>
    </row>
    <row r="403" spans="1:2" ht="26.25">
      <c r="A403" s="105"/>
      <c r="B403" s="105"/>
    </row>
    <row r="404" spans="1:2" ht="26.25">
      <c r="A404" s="105"/>
      <c r="B404" s="105"/>
    </row>
    <row r="405" spans="1:2" ht="26.25">
      <c r="A405" s="105"/>
      <c r="B405" s="105"/>
    </row>
    <row r="406" spans="1:2" ht="26.25">
      <c r="A406" s="105"/>
      <c r="B406" s="105"/>
    </row>
    <row r="407" spans="1:2" ht="26.25">
      <c r="A407" s="105"/>
      <c r="B407" s="105"/>
    </row>
    <row r="408" spans="1:2" ht="26.25">
      <c r="A408" s="105"/>
      <c r="B408" s="105"/>
    </row>
    <row r="409" spans="1:2" ht="26.25">
      <c r="A409" s="105"/>
      <c r="B409" s="105"/>
    </row>
    <row r="410" spans="1:2" ht="26.25">
      <c r="A410" s="105"/>
      <c r="B410" s="105"/>
    </row>
    <row r="411" spans="1:2" ht="26.25">
      <c r="A411" s="105"/>
      <c r="B411" s="105"/>
    </row>
    <row r="412" spans="1:2" ht="26.25">
      <c r="A412" s="105"/>
      <c r="B412" s="105"/>
    </row>
    <row r="413" spans="1:2" ht="26.25">
      <c r="A413" s="105"/>
      <c r="B413" s="105"/>
    </row>
    <row r="414" spans="1:2" ht="26.25">
      <c r="A414" s="105"/>
      <c r="B414" s="105"/>
    </row>
    <row r="415" spans="1:2" ht="26.25">
      <c r="A415" s="105"/>
      <c r="B415" s="105"/>
    </row>
    <row r="416" spans="1:2" ht="26.25">
      <c r="A416" s="105"/>
      <c r="B416" s="105"/>
    </row>
    <row r="417" spans="1:2" ht="26.25">
      <c r="A417" s="105"/>
      <c r="B417" s="105"/>
    </row>
    <row r="418" spans="1:2" ht="26.25">
      <c r="A418" s="105"/>
      <c r="B418" s="105"/>
    </row>
    <row r="419" spans="1:2" ht="26.25">
      <c r="A419" s="105"/>
      <c r="B419" s="105"/>
    </row>
    <row r="420" spans="1:2" ht="26.25">
      <c r="A420" s="105"/>
      <c r="B420" s="105"/>
    </row>
    <row r="421" spans="1:2" ht="26.25">
      <c r="A421" s="105"/>
      <c r="B421" s="105"/>
    </row>
    <row r="422" spans="1:2" ht="26.25">
      <c r="A422" s="105"/>
      <c r="B422" s="105"/>
    </row>
    <row r="423" spans="1:2" ht="26.25">
      <c r="A423" s="105"/>
      <c r="B423" s="105"/>
    </row>
    <row r="424" spans="1:2" ht="26.25">
      <c r="A424" s="105"/>
      <c r="B424" s="105"/>
    </row>
    <row r="425" spans="1:2" ht="26.25">
      <c r="A425" s="105"/>
      <c r="B425" s="105"/>
    </row>
    <row r="426" spans="1:2" ht="26.25">
      <c r="A426" s="105"/>
      <c r="B426" s="105"/>
    </row>
    <row r="427" spans="1:2" ht="26.25">
      <c r="A427" s="105"/>
      <c r="B427" s="105"/>
    </row>
    <row r="428" spans="1:2" ht="26.25">
      <c r="A428" s="105"/>
      <c r="B428" s="105"/>
    </row>
    <row r="429" spans="1:2" ht="26.25">
      <c r="A429" s="105"/>
      <c r="B429" s="105"/>
    </row>
    <row r="430" spans="1:2" ht="26.25">
      <c r="A430" s="105"/>
      <c r="B430" s="105"/>
    </row>
    <row r="431" spans="1:2" ht="26.25">
      <c r="A431" s="105"/>
      <c r="B431" s="105"/>
    </row>
  </sheetData>
  <mergeCells count="10">
    <mergeCell ref="H40:I40"/>
    <mergeCell ref="J40:K40"/>
    <mergeCell ref="H41:I41"/>
    <mergeCell ref="J41:K41"/>
    <mergeCell ref="C17:K17"/>
    <mergeCell ref="A1:K1"/>
    <mergeCell ref="A2:K2"/>
    <mergeCell ref="A3:J3"/>
    <mergeCell ref="H39:I39"/>
    <mergeCell ref="J39:K39"/>
  </mergeCells>
  <pageMargins left="0.70866141732283472" right="0.2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168"/>
  <sheetViews>
    <sheetView workbookViewId="0">
      <selection sqref="A1:L1"/>
    </sheetView>
  </sheetViews>
  <sheetFormatPr defaultColWidth="11.5703125" defaultRowHeight="12.75"/>
  <cols>
    <col min="1" max="1" width="3.7109375" customWidth="1"/>
    <col min="2" max="2" width="13.28515625" customWidth="1"/>
    <col min="3" max="3" width="53.28515625" customWidth="1"/>
    <col min="4" max="4" width="6" customWidth="1"/>
    <col min="5" max="5" width="10.85546875" customWidth="1"/>
    <col min="6" max="6" width="11.85546875" customWidth="1"/>
    <col min="7" max="7" width="12.28515625" customWidth="1"/>
    <col min="8" max="8" width="11.28515625" customWidth="1"/>
    <col min="9" max="9" width="12.140625" customWidth="1"/>
    <col min="10" max="10" width="7.42578125" customWidth="1"/>
    <col min="11" max="11" width="7.28515625" customWidth="1"/>
    <col min="12" max="12" width="11.42578125" customWidth="1"/>
    <col min="13" max="36" width="12.140625" hidden="1" customWidth="1"/>
  </cols>
  <sheetData>
    <row r="1" spans="1:36" ht="21.95" customHeight="1">
      <c r="A1" s="132" t="s">
        <v>389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36">
      <c r="A2" s="134" t="s">
        <v>0</v>
      </c>
      <c r="B2" s="135"/>
      <c r="C2" s="137" t="s">
        <v>106</v>
      </c>
      <c r="D2" s="139" t="s">
        <v>230</v>
      </c>
      <c r="E2" s="135"/>
      <c r="F2" s="139"/>
      <c r="G2" s="135"/>
      <c r="H2" s="140" t="s">
        <v>248</v>
      </c>
      <c r="I2" s="140" t="s">
        <v>253</v>
      </c>
      <c r="J2" s="135"/>
      <c r="K2" s="135"/>
      <c r="L2" s="141"/>
      <c r="M2" s="32"/>
    </row>
    <row r="3" spans="1:36">
      <c r="A3" s="136"/>
      <c r="B3" s="130"/>
      <c r="C3" s="138"/>
      <c r="D3" s="130"/>
      <c r="E3" s="130"/>
      <c r="F3" s="130"/>
      <c r="G3" s="130"/>
      <c r="H3" s="130"/>
      <c r="I3" s="130"/>
      <c r="J3" s="130"/>
      <c r="K3" s="130"/>
      <c r="L3" s="131"/>
      <c r="M3" s="32"/>
    </row>
    <row r="4" spans="1:36">
      <c r="A4" s="142" t="s">
        <v>1</v>
      </c>
      <c r="B4" s="130"/>
      <c r="C4" s="129" t="s">
        <v>107</v>
      </c>
      <c r="D4" s="143" t="s">
        <v>231</v>
      </c>
      <c r="E4" s="130"/>
      <c r="F4" s="143" t="s">
        <v>5</v>
      </c>
      <c r="G4" s="130"/>
      <c r="H4" s="129" t="s">
        <v>249</v>
      </c>
      <c r="I4" s="129" t="s">
        <v>254</v>
      </c>
      <c r="J4" s="130"/>
      <c r="K4" s="130"/>
      <c r="L4" s="131"/>
      <c r="M4" s="32"/>
    </row>
    <row r="5" spans="1:36">
      <c r="A5" s="136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1"/>
      <c r="M5" s="32"/>
    </row>
    <row r="6" spans="1:36">
      <c r="A6" s="142" t="s">
        <v>2</v>
      </c>
      <c r="B6" s="130"/>
      <c r="C6" s="129" t="s">
        <v>108</v>
      </c>
      <c r="D6" s="143" t="s">
        <v>232</v>
      </c>
      <c r="E6" s="130"/>
      <c r="F6" s="130"/>
      <c r="G6" s="130"/>
      <c r="H6" s="129" t="s">
        <v>250</v>
      </c>
      <c r="I6" s="129"/>
      <c r="J6" s="130"/>
      <c r="K6" s="130"/>
      <c r="L6" s="131"/>
      <c r="M6" s="32"/>
    </row>
    <row r="7" spans="1:36">
      <c r="A7" s="136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1"/>
      <c r="M7" s="32"/>
    </row>
    <row r="8" spans="1:36">
      <c r="A8" s="142" t="s">
        <v>3</v>
      </c>
      <c r="B8" s="130"/>
      <c r="C8" s="129">
        <v>8013249</v>
      </c>
      <c r="D8" s="143" t="s">
        <v>233</v>
      </c>
      <c r="E8" s="130"/>
      <c r="F8" s="146">
        <v>41763</v>
      </c>
      <c r="G8" s="130"/>
      <c r="H8" s="129" t="s">
        <v>251</v>
      </c>
      <c r="I8" s="129"/>
      <c r="J8" s="130"/>
      <c r="K8" s="130"/>
      <c r="L8" s="131"/>
      <c r="M8" s="32"/>
    </row>
    <row r="9" spans="1:36">
      <c r="A9" s="144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50"/>
      <c r="M9" s="32"/>
    </row>
    <row r="10" spans="1:36">
      <c r="A10" s="1" t="s">
        <v>4</v>
      </c>
      <c r="B10" s="10" t="s">
        <v>51</v>
      </c>
      <c r="C10" s="10" t="s">
        <v>109</v>
      </c>
      <c r="D10" s="10" t="s">
        <v>234</v>
      </c>
      <c r="E10" s="16" t="s">
        <v>242</v>
      </c>
      <c r="F10" s="20" t="s">
        <v>243</v>
      </c>
      <c r="G10" s="147" t="s">
        <v>245</v>
      </c>
      <c r="H10" s="148"/>
      <c r="I10" s="149"/>
      <c r="J10" s="147" t="s">
        <v>256</v>
      </c>
      <c r="K10" s="149"/>
      <c r="L10" s="27" t="s">
        <v>257</v>
      </c>
      <c r="M10" s="33"/>
    </row>
    <row r="11" spans="1:36">
      <c r="A11" s="2" t="s">
        <v>5</v>
      </c>
      <c r="B11" s="11" t="s">
        <v>5</v>
      </c>
      <c r="C11" s="14" t="s">
        <v>110</v>
      </c>
      <c r="D11" s="11" t="s">
        <v>5</v>
      </c>
      <c r="E11" s="11" t="s">
        <v>5</v>
      </c>
      <c r="F11" s="21" t="s">
        <v>244</v>
      </c>
      <c r="G11" s="22" t="s">
        <v>246</v>
      </c>
      <c r="H11" s="23" t="s">
        <v>252</v>
      </c>
      <c r="I11" s="24" t="s">
        <v>255</v>
      </c>
      <c r="J11" s="22" t="s">
        <v>243</v>
      </c>
      <c r="K11" s="24" t="s">
        <v>255</v>
      </c>
      <c r="L11" s="28" t="s">
        <v>258</v>
      </c>
      <c r="M11" s="33"/>
      <c r="O11" s="26" t="s">
        <v>261</v>
      </c>
      <c r="P11" s="26" t="s">
        <v>262</v>
      </c>
      <c r="Q11" s="26" t="s">
        <v>267</v>
      </c>
      <c r="R11" s="26" t="s">
        <v>268</v>
      </c>
      <c r="S11" s="26" t="s">
        <v>269</v>
      </c>
      <c r="T11" s="26" t="s">
        <v>270</v>
      </c>
      <c r="U11" s="26" t="s">
        <v>271</v>
      </c>
      <c r="V11" s="26" t="s">
        <v>272</v>
      </c>
      <c r="W11" s="26" t="s">
        <v>273</v>
      </c>
    </row>
    <row r="12" spans="1:36">
      <c r="A12" s="3"/>
      <c r="B12" s="12" t="s">
        <v>52</v>
      </c>
      <c r="C12" s="151" t="s">
        <v>111</v>
      </c>
      <c r="D12" s="152"/>
      <c r="E12" s="152"/>
      <c r="F12" s="152"/>
      <c r="G12" s="35">
        <f>SUM(G13:G64)</f>
        <v>0</v>
      </c>
      <c r="H12" s="35">
        <f>SUM(H13:H64)</f>
        <v>0</v>
      </c>
      <c r="I12" s="35">
        <f>G12+H12</f>
        <v>0</v>
      </c>
      <c r="J12" s="25"/>
      <c r="K12" s="35">
        <f>SUM(K13:K64)</f>
        <v>2.9458392</v>
      </c>
      <c r="L12" s="25"/>
      <c r="O12" s="36">
        <f>IF(P12="PR",I12,SUM(N13:N64))</f>
        <v>0</v>
      </c>
      <c r="P12" s="26" t="s">
        <v>263</v>
      </c>
      <c r="Q12" s="36">
        <f>IF(P12="HS",G12,0)</f>
        <v>0</v>
      </c>
      <c r="R12" s="36">
        <f>IF(P12="HS",H12-O12,0)</f>
        <v>0</v>
      </c>
      <c r="S12" s="36">
        <f>IF(P12="PS",G12,0)</f>
        <v>0</v>
      </c>
      <c r="T12" s="36">
        <f>IF(P12="PS",H12-O12,0)</f>
        <v>0</v>
      </c>
      <c r="U12" s="36">
        <f>IF(P12="MP",G12,0)</f>
        <v>0</v>
      </c>
      <c r="V12" s="36">
        <f>IF(P12="MP",H12-O12,0)</f>
        <v>0</v>
      </c>
      <c r="W12" s="36">
        <f>IF(P12="OM",G12,0)</f>
        <v>0</v>
      </c>
      <c r="X12" s="26"/>
      <c r="AH12" s="36">
        <f>SUM(Y13:Y64)</f>
        <v>0</v>
      </c>
      <c r="AI12" s="36">
        <f>SUM(Z13:Z64)</f>
        <v>0</v>
      </c>
      <c r="AJ12" s="36">
        <f>SUM(AA13:AA64)</f>
        <v>0</v>
      </c>
    </row>
    <row r="13" spans="1:36">
      <c r="A13" s="4" t="s">
        <v>6</v>
      </c>
      <c r="B13" s="4" t="s">
        <v>53</v>
      </c>
      <c r="C13" s="69" t="s">
        <v>112</v>
      </c>
      <c r="D13" s="69" t="s">
        <v>235</v>
      </c>
      <c r="E13" s="70">
        <v>11.07</v>
      </c>
      <c r="F13" s="70">
        <v>0</v>
      </c>
      <c r="G13" s="17">
        <f>ROUND(E13*AD13,2)</f>
        <v>0</v>
      </c>
      <c r="H13" s="17">
        <f>I13-G13</f>
        <v>0</v>
      </c>
      <c r="I13" s="17">
        <f>ROUND(E13*F13,2)</f>
        <v>0</v>
      </c>
      <c r="J13" s="17">
        <v>3.3709999999999997E-2</v>
      </c>
      <c r="K13" s="17">
        <f>E13*J13</f>
        <v>0.37316969999999999</v>
      </c>
      <c r="L13" s="29" t="s">
        <v>259</v>
      </c>
      <c r="M13" s="29" t="s">
        <v>6</v>
      </c>
      <c r="N13" s="17">
        <f>IF(M13="5",H13,0)</f>
        <v>0</v>
      </c>
      <c r="Y13" s="17">
        <f>IF(AC13=0,I13,0)</f>
        <v>0</v>
      </c>
      <c r="Z13" s="17">
        <f>IF(AC13=15,I13,0)</f>
        <v>0</v>
      </c>
      <c r="AA13" s="17">
        <f>IF(AC13=21,I13,0)</f>
        <v>0</v>
      </c>
      <c r="AC13" s="34">
        <v>21</v>
      </c>
      <c r="AD13" s="34">
        <f>F13*0.265908221797323</f>
        <v>0</v>
      </c>
      <c r="AE13" s="34">
        <f>F13*(1-0.265908221797323)</f>
        <v>0</v>
      </c>
    </row>
    <row r="14" spans="1:36" ht="25.5">
      <c r="C14" s="71" t="s">
        <v>113</v>
      </c>
      <c r="D14" s="72"/>
      <c r="E14" s="73">
        <v>5.16</v>
      </c>
      <c r="F14" s="72"/>
    </row>
    <row r="15" spans="1:36" ht="38.25">
      <c r="C15" s="71" t="s">
        <v>380</v>
      </c>
      <c r="D15" s="72"/>
      <c r="E15" s="73">
        <v>6.54</v>
      </c>
      <c r="F15" s="72"/>
    </row>
    <row r="16" spans="1:36">
      <c r="A16" s="4" t="s">
        <v>7</v>
      </c>
      <c r="B16" s="4" t="s">
        <v>54</v>
      </c>
      <c r="C16" s="69" t="s">
        <v>114</v>
      </c>
      <c r="D16" s="69" t="s">
        <v>236</v>
      </c>
      <c r="E16" s="70">
        <v>905.9</v>
      </c>
      <c r="F16" s="70">
        <v>0</v>
      </c>
      <c r="G16" s="17">
        <f>ROUND(E16*AD16,2)</f>
        <v>0</v>
      </c>
      <c r="H16" s="17">
        <f>I16-G16</f>
        <v>0</v>
      </c>
      <c r="I16" s="17">
        <f>ROUND(E16*F16,2)</f>
        <v>0</v>
      </c>
      <c r="J16" s="17">
        <v>2.3800000000000002E-3</v>
      </c>
      <c r="K16" s="17">
        <f>E16*J16</f>
        <v>2.1560420000000002</v>
      </c>
      <c r="L16" s="29" t="s">
        <v>259</v>
      </c>
      <c r="M16" s="29" t="s">
        <v>6</v>
      </c>
      <c r="N16" s="17">
        <f>IF(M16="5",H16,0)</f>
        <v>0</v>
      </c>
      <c r="Y16" s="17">
        <f>IF(AC16=0,I16,0)</f>
        <v>0</v>
      </c>
      <c r="Z16" s="17">
        <f>IF(AC16=15,I16,0)</f>
        <v>0</v>
      </c>
      <c r="AA16" s="17">
        <f>IF(AC16=21,I16,0)</f>
        <v>0</v>
      </c>
      <c r="AC16" s="34">
        <v>21</v>
      </c>
      <c r="AD16" s="34">
        <f>F16*0.134525939177102</f>
        <v>0</v>
      </c>
      <c r="AE16" s="34">
        <f>F16*(1-0.134525939177102)</f>
        <v>0</v>
      </c>
    </row>
    <row r="17" spans="1:31" ht="25.5">
      <c r="C17" s="71" t="s">
        <v>115</v>
      </c>
      <c r="D17" s="72"/>
      <c r="E17" s="73">
        <v>103.96</v>
      </c>
      <c r="F17" s="72"/>
    </row>
    <row r="18" spans="1:31" ht="38.25">
      <c r="C18" s="71" t="s">
        <v>381</v>
      </c>
      <c r="D18" s="72"/>
      <c r="E18" s="73">
        <v>114.41</v>
      </c>
      <c r="F18" s="72"/>
    </row>
    <row r="19" spans="1:31" ht="25.5">
      <c r="C19" s="71" t="s">
        <v>116</v>
      </c>
      <c r="D19" s="72"/>
      <c r="E19" s="73">
        <v>237.02</v>
      </c>
      <c r="F19" s="72"/>
    </row>
    <row r="20" spans="1:31" ht="25.5">
      <c r="C20" s="71" t="s">
        <v>117</v>
      </c>
      <c r="D20" s="72"/>
      <c r="E20" s="73">
        <v>300.60000000000002</v>
      </c>
      <c r="F20" s="72"/>
    </row>
    <row r="21" spans="1:31" ht="25.5">
      <c r="C21" s="71" t="s">
        <v>118</v>
      </c>
      <c r="D21" s="72"/>
      <c r="E21" s="73">
        <v>53.1</v>
      </c>
      <c r="F21" s="72"/>
    </row>
    <row r="22" spans="1:31" ht="25.5">
      <c r="C22" s="71" t="s">
        <v>119</v>
      </c>
      <c r="D22" s="72"/>
      <c r="E22" s="73">
        <v>71.069999999999993</v>
      </c>
      <c r="F22" s="72"/>
    </row>
    <row r="23" spans="1:31">
      <c r="C23" s="71" t="s">
        <v>120</v>
      </c>
      <c r="D23" s="72"/>
      <c r="E23" s="73">
        <v>25.74</v>
      </c>
      <c r="F23" s="72"/>
    </row>
    <row r="24" spans="1:31">
      <c r="A24" s="4" t="s">
        <v>8</v>
      </c>
      <c r="B24" s="4" t="s">
        <v>55</v>
      </c>
      <c r="C24" s="69" t="s">
        <v>121</v>
      </c>
      <c r="D24" s="69" t="s">
        <v>235</v>
      </c>
      <c r="E24" s="70">
        <v>949.61</v>
      </c>
      <c r="F24" s="70">
        <v>0</v>
      </c>
      <c r="G24" s="17">
        <f>ROUND(E24*AD24,2)</f>
        <v>0</v>
      </c>
      <c r="H24" s="17">
        <f>I24-G24</f>
        <v>0</v>
      </c>
      <c r="I24" s="17">
        <f>ROUND(E24*F24,2)</f>
        <v>0</v>
      </c>
      <c r="J24" s="17">
        <v>4.0000000000000003E-5</v>
      </c>
      <c r="K24" s="17">
        <f>E24*J24</f>
        <v>3.7984400000000001E-2</v>
      </c>
      <c r="L24" s="29" t="s">
        <v>259</v>
      </c>
      <c r="M24" s="29" t="s">
        <v>6</v>
      </c>
      <c r="N24" s="17">
        <f>IF(M24="5",H24,0)</f>
        <v>0</v>
      </c>
      <c r="Y24" s="17">
        <f>IF(AC24=0,I24,0)</f>
        <v>0</v>
      </c>
      <c r="Z24" s="17">
        <f>IF(AC24=15,I24,0)</f>
        <v>0</v>
      </c>
      <c r="AA24" s="17">
        <f>IF(AC24=21,I24,0)</f>
        <v>0</v>
      </c>
      <c r="AC24" s="34">
        <v>21</v>
      </c>
      <c r="AD24" s="34">
        <f>F24*0.39520608009354</f>
        <v>0</v>
      </c>
      <c r="AE24" s="34">
        <f>F24*(1-0.39520608009354)</f>
        <v>0</v>
      </c>
    </row>
    <row r="25" spans="1:31" ht="25.5">
      <c r="C25" s="71" t="s">
        <v>122</v>
      </c>
      <c r="D25" s="72"/>
      <c r="E25" s="73">
        <v>140.59</v>
      </c>
      <c r="F25" s="72"/>
    </row>
    <row r="26" spans="1:31" ht="38.25">
      <c r="C26" s="71" t="s">
        <v>382</v>
      </c>
      <c r="D26" s="72"/>
      <c r="E26" s="73">
        <v>200.83099999999999</v>
      </c>
      <c r="F26" s="72"/>
    </row>
    <row r="27" spans="1:31" ht="25.5">
      <c r="C27" s="71" t="s">
        <v>123</v>
      </c>
      <c r="D27" s="72"/>
      <c r="E27" s="73">
        <v>424.16</v>
      </c>
      <c r="F27" s="72"/>
    </row>
    <row r="28" spans="1:31" ht="25.5">
      <c r="C28" s="71" t="s">
        <v>124</v>
      </c>
      <c r="D28" s="72"/>
      <c r="E28" s="73">
        <v>27.4</v>
      </c>
      <c r="F28" s="72"/>
    </row>
    <row r="29" spans="1:31" ht="25.5">
      <c r="C29" s="71" t="s">
        <v>125</v>
      </c>
      <c r="D29" s="72"/>
      <c r="E29" s="73">
        <v>143.59</v>
      </c>
      <c r="F29" s="72"/>
    </row>
    <row r="30" spans="1:31">
      <c r="C30" s="71" t="s">
        <v>126</v>
      </c>
      <c r="D30" s="72"/>
      <c r="E30" s="73">
        <v>13.04</v>
      </c>
      <c r="F30" s="72"/>
    </row>
    <row r="31" spans="1:31" ht="25.5">
      <c r="A31" s="4" t="s">
        <v>9</v>
      </c>
      <c r="B31" s="4" t="s">
        <v>56</v>
      </c>
      <c r="C31" s="69" t="s">
        <v>127</v>
      </c>
      <c r="D31" s="69" t="s">
        <v>235</v>
      </c>
      <c r="E31" s="70">
        <v>58.9</v>
      </c>
      <c r="F31" s="70">
        <v>0</v>
      </c>
      <c r="G31" s="17">
        <f>ROUND(E31*AD31,2)</f>
        <v>0</v>
      </c>
      <c r="H31" s="17">
        <f>I31-G31</f>
        <v>0</v>
      </c>
      <c r="I31" s="17">
        <f>ROUND(E31*F31,2)</f>
        <v>0</v>
      </c>
      <c r="J31" s="17">
        <v>1.74E-3</v>
      </c>
      <c r="K31" s="17">
        <f>E31*J31</f>
        <v>0.10248599999999999</v>
      </c>
      <c r="L31" s="29" t="s">
        <v>259</v>
      </c>
      <c r="M31" s="29" t="s">
        <v>6</v>
      </c>
      <c r="N31" s="17">
        <f>IF(M31="5",H31,0)</f>
        <v>0</v>
      </c>
      <c r="Y31" s="17">
        <f>IF(AC31=0,I31,0)</f>
        <v>0</v>
      </c>
      <c r="Z31" s="17">
        <f>IF(AC31=15,I31,0)</f>
        <v>0</v>
      </c>
      <c r="AA31" s="17">
        <f>IF(AC31=21,I31,0)</f>
        <v>0</v>
      </c>
      <c r="AC31" s="34">
        <v>21</v>
      </c>
      <c r="AD31" s="34">
        <f>F31*0.386455368693402</f>
        <v>0</v>
      </c>
      <c r="AE31" s="34">
        <f>F31*(1-0.386455368693402)</f>
        <v>0</v>
      </c>
    </row>
    <row r="32" spans="1:31">
      <c r="C32" s="71" t="s">
        <v>128</v>
      </c>
      <c r="D32" s="72"/>
      <c r="E32" s="73">
        <v>7.57</v>
      </c>
      <c r="F32" s="72"/>
    </row>
    <row r="33" spans="1:31">
      <c r="C33" s="71" t="s">
        <v>129</v>
      </c>
      <c r="D33" s="72"/>
      <c r="E33" s="73">
        <v>3.38</v>
      </c>
      <c r="F33" s="72"/>
    </row>
    <row r="34" spans="1:31" ht="25.5">
      <c r="C34" s="71" t="s">
        <v>130</v>
      </c>
      <c r="D34" s="72"/>
      <c r="E34" s="73">
        <v>37.78</v>
      </c>
      <c r="F34" s="72"/>
    </row>
    <row r="35" spans="1:31">
      <c r="C35" s="71" t="s">
        <v>131</v>
      </c>
      <c r="D35" s="72"/>
      <c r="E35" s="73">
        <v>2</v>
      </c>
      <c r="F35" s="72"/>
    </row>
    <row r="36" spans="1:31">
      <c r="C36" s="71" t="s">
        <v>132</v>
      </c>
      <c r="D36" s="72"/>
      <c r="E36" s="73">
        <v>7.01</v>
      </c>
      <c r="F36" s="72"/>
    </row>
    <row r="37" spans="1:31">
      <c r="C37" s="71" t="s">
        <v>133</v>
      </c>
      <c r="D37" s="72"/>
      <c r="E37" s="73">
        <v>1.1599999999999999</v>
      </c>
      <c r="F37" s="72"/>
    </row>
    <row r="38" spans="1:31">
      <c r="A38" s="4" t="s">
        <v>10</v>
      </c>
      <c r="B38" s="4" t="s">
        <v>57</v>
      </c>
      <c r="C38" s="69" t="s">
        <v>134</v>
      </c>
      <c r="D38" s="69" t="s">
        <v>236</v>
      </c>
      <c r="E38" s="70">
        <v>294.55</v>
      </c>
      <c r="F38" s="70">
        <v>0</v>
      </c>
      <c r="G38" s="17">
        <f>ROUND(E38*AD38,2)</f>
        <v>0</v>
      </c>
      <c r="H38" s="17">
        <f>I38-G38</f>
        <v>0</v>
      </c>
      <c r="I38" s="17">
        <f>ROUND(E38*F38,2)</f>
        <v>0</v>
      </c>
      <c r="J38" s="17">
        <v>0</v>
      </c>
      <c r="K38" s="17">
        <f>E38*J38</f>
        <v>0</v>
      </c>
      <c r="L38" s="29" t="s">
        <v>259</v>
      </c>
      <c r="M38" s="29" t="s">
        <v>6</v>
      </c>
      <c r="N38" s="17">
        <f>IF(M38="5",H38,0)</f>
        <v>0</v>
      </c>
      <c r="Y38" s="17">
        <f>IF(AC38=0,I38,0)</f>
        <v>0</v>
      </c>
      <c r="Z38" s="17">
        <f>IF(AC38=15,I38,0)</f>
        <v>0</v>
      </c>
      <c r="AA38" s="17">
        <f>IF(AC38=21,I38,0)</f>
        <v>0</v>
      </c>
      <c r="AC38" s="34">
        <v>21</v>
      </c>
      <c r="AD38" s="34">
        <f>F38*0</f>
        <v>0</v>
      </c>
      <c r="AE38" s="34">
        <f>F38*(1-0)</f>
        <v>0</v>
      </c>
    </row>
    <row r="39" spans="1:31">
      <c r="C39" s="71" t="s">
        <v>135</v>
      </c>
      <c r="D39" s="72"/>
      <c r="E39" s="73">
        <v>37.86</v>
      </c>
      <c r="F39" s="72"/>
    </row>
    <row r="40" spans="1:31">
      <c r="C40" s="71" t="s">
        <v>136</v>
      </c>
      <c r="D40" s="72"/>
      <c r="E40" s="73">
        <v>16.899999999999999</v>
      </c>
      <c r="F40" s="72"/>
    </row>
    <row r="41" spans="1:31" ht="25.5">
      <c r="C41" s="71" t="s">
        <v>137</v>
      </c>
      <c r="D41" s="72"/>
      <c r="E41" s="73">
        <v>188.9</v>
      </c>
      <c r="F41" s="72"/>
    </row>
    <row r="42" spans="1:31">
      <c r="C42" s="71" t="s">
        <v>138</v>
      </c>
      <c r="D42" s="72"/>
      <c r="E42" s="73">
        <v>10</v>
      </c>
      <c r="F42" s="72"/>
    </row>
    <row r="43" spans="1:31">
      <c r="C43" s="71" t="s">
        <v>139</v>
      </c>
      <c r="D43" s="72"/>
      <c r="E43" s="73">
        <v>35.07</v>
      </c>
      <c r="F43" s="72"/>
    </row>
    <row r="44" spans="1:31">
      <c r="C44" s="71" t="s">
        <v>140</v>
      </c>
      <c r="D44" s="72"/>
      <c r="E44" s="73">
        <v>5.82</v>
      </c>
      <c r="F44" s="72"/>
    </row>
    <row r="45" spans="1:31">
      <c r="A45" s="4" t="s">
        <v>11</v>
      </c>
      <c r="B45" s="4" t="s">
        <v>57</v>
      </c>
      <c r="C45" s="69" t="s">
        <v>141</v>
      </c>
      <c r="D45" s="69" t="s">
        <v>236</v>
      </c>
      <c r="E45" s="70">
        <v>156.06</v>
      </c>
      <c r="F45" s="70">
        <v>0</v>
      </c>
      <c r="G45" s="17">
        <f>ROUND(E45*AD45,2)</f>
        <v>0</v>
      </c>
      <c r="H45" s="17">
        <f>I45-G45</f>
        <v>0</v>
      </c>
      <c r="I45" s="17">
        <f>ROUND(E45*F45,2)</f>
        <v>0</v>
      </c>
      <c r="J45" s="17">
        <v>0</v>
      </c>
      <c r="K45" s="17">
        <f>E45*J45</f>
        <v>0</v>
      </c>
      <c r="L45" s="29" t="s">
        <v>259</v>
      </c>
      <c r="M45" s="29" t="s">
        <v>6</v>
      </c>
      <c r="N45" s="17">
        <f>IF(M45="5",H45,0)</f>
        <v>0</v>
      </c>
      <c r="Y45" s="17">
        <f>IF(AC45=0,I45,0)</f>
        <v>0</v>
      </c>
      <c r="Z45" s="17">
        <f>IF(AC45=15,I45,0)</f>
        <v>0</v>
      </c>
      <c r="AA45" s="17">
        <f>IF(AC45=21,I45,0)</f>
        <v>0</v>
      </c>
      <c r="AC45" s="34">
        <v>21</v>
      </c>
      <c r="AD45" s="34">
        <f>F45*0</f>
        <v>0</v>
      </c>
      <c r="AE45" s="34">
        <f>F45*(1-0)</f>
        <v>0</v>
      </c>
    </row>
    <row r="46" spans="1:31">
      <c r="C46" s="71" t="s">
        <v>142</v>
      </c>
      <c r="D46" s="72"/>
      <c r="E46" s="73">
        <v>36.06</v>
      </c>
      <c r="F46" s="72"/>
    </row>
    <row r="47" spans="1:31">
      <c r="C47" s="71" t="s">
        <v>143</v>
      </c>
      <c r="D47" s="72"/>
      <c r="E47" s="73">
        <v>120</v>
      </c>
      <c r="F47" s="72"/>
    </row>
    <row r="48" spans="1:31" ht="25.5">
      <c r="A48" s="4" t="s">
        <v>12</v>
      </c>
      <c r="B48" s="4" t="s">
        <v>58</v>
      </c>
      <c r="C48" s="69" t="s">
        <v>144</v>
      </c>
      <c r="D48" s="69" t="s">
        <v>235</v>
      </c>
      <c r="E48" s="70">
        <v>15.61</v>
      </c>
      <c r="F48" s="70">
        <v>0</v>
      </c>
      <c r="G48" s="17">
        <f>ROUND(E48*AD48,2)</f>
        <v>0</v>
      </c>
      <c r="H48" s="17">
        <f>I48-G48</f>
        <v>0</v>
      </c>
      <c r="I48" s="17">
        <f>ROUND(E48*F48,2)</f>
        <v>0</v>
      </c>
      <c r="J48" s="17">
        <v>1.0410000000000001E-2</v>
      </c>
      <c r="K48" s="17">
        <f>E48*J48</f>
        <v>0.16250010000000001</v>
      </c>
      <c r="L48" s="29" t="s">
        <v>259</v>
      </c>
      <c r="M48" s="29" t="s">
        <v>6</v>
      </c>
      <c r="N48" s="17">
        <f>IF(M48="5",H48,0)</f>
        <v>0</v>
      </c>
      <c r="Y48" s="17">
        <f>IF(AC48=0,I48,0)</f>
        <v>0</v>
      </c>
      <c r="Z48" s="17">
        <f>IF(AC48=15,I48,0)</f>
        <v>0</v>
      </c>
      <c r="AA48" s="17">
        <f>IF(AC48=21,I48,0)</f>
        <v>0</v>
      </c>
      <c r="AC48" s="34">
        <v>21</v>
      </c>
      <c r="AD48" s="34">
        <f>F48*0.389760888129804</f>
        <v>0</v>
      </c>
      <c r="AE48" s="34">
        <f>F48*(1-0.389760888129804)</f>
        <v>0</v>
      </c>
    </row>
    <row r="49" spans="1:31">
      <c r="C49" s="71" t="s">
        <v>145</v>
      </c>
      <c r="D49" s="72"/>
      <c r="E49" s="73">
        <v>3.61</v>
      </c>
      <c r="F49" s="72"/>
    </row>
    <row r="50" spans="1:31">
      <c r="C50" s="71" t="s">
        <v>146</v>
      </c>
      <c r="D50" s="72"/>
      <c r="E50" s="73">
        <v>12</v>
      </c>
      <c r="F50" s="72"/>
    </row>
    <row r="51" spans="1:31">
      <c r="A51" s="4" t="s">
        <v>13</v>
      </c>
      <c r="B51" s="4" t="s">
        <v>59</v>
      </c>
      <c r="C51" s="69" t="s">
        <v>147</v>
      </c>
      <c r="D51" s="69" t="s">
        <v>236</v>
      </c>
      <c r="E51" s="70">
        <v>663.43</v>
      </c>
      <c r="F51" s="70">
        <v>0</v>
      </c>
      <c r="G51" s="17">
        <f>ROUND(E51*AD51,2)</f>
        <v>0</v>
      </c>
      <c r="H51" s="17">
        <f>I51-G51</f>
        <v>0</v>
      </c>
      <c r="I51" s="17">
        <f>ROUND(E51*F51,2)</f>
        <v>0</v>
      </c>
      <c r="J51" s="17">
        <v>0</v>
      </c>
      <c r="K51" s="17">
        <f>E51*J51</f>
        <v>0</v>
      </c>
      <c r="L51" s="29" t="s">
        <v>259</v>
      </c>
      <c r="M51" s="29" t="s">
        <v>6</v>
      </c>
      <c r="N51" s="17">
        <f>IF(M51="5",H51,0)</f>
        <v>0</v>
      </c>
      <c r="Y51" s="17">
        <f>IF(AC51=0,I51,0)</f>
        <v>0</v>
      </c>
      <c r="Z51" s="17">
        <f>IF(AC51=15,I51,0)</f>
        <v>0</v>
      </c>
      <c r="AA51" s="17">
        <f>IF(AC51=21,I51,0)</f>
        <v>0</v>
      </c>
      <c r="AC51" s="34">
        <v>21</v>
      </c>
      <c r="AD51" s="34">
        <f>F51*0</f>
        <v>0</v>
      </c>
      <c r="AE51" s="34">
        <f>F51*(1-0)</f>
        <v>0</v>
      </c>
    </row>
    <row r="52" spans="1:31" ht="25.5">
      <c r="C52" s="71" t="s">
        <v>148</v>
      </c>
      <c r="D52" s="72"/>
      <c r="E52" s="73">
        <v>167.59</v>
      </c>
      <c r="F52" s="72"/>
    </row>
    <row r="53" spans="1:31" ht="25.5">
      <c r="C53" s="71" t="s">
        <v>383</v>
      </c>
      <c r="D53" s="72"/>
      <c r="E53" s="73">
        <v>0</v>
      </c>
      <c r="F53" s="72"/>
    </row>
    <row r="54" spans="1:31" ht="25.5">
      <c r="C54" s="71" t="s">
        <v>149</v>
      </c>
      <c r="D54" s="72"/>
      <c r="E54" s="73">
        <v>204.94</v>
      </c>
      <c r="F54" s="72"/>
    </row>
    <row r="55" spans="1:31" ht="25.5">
      <c r="C55" s="71" t="s">
        <v>150</v>
      </c>
      <c r="D55" s="72"/>
      <c r="E55" s="73">
        <v>171.48</v>
      </c>
      <c r="F55" s="72"/>
    </row>
    <row r="56" spans="1:31" ht="25.5">
      <c r="C56" s="71" t="s">
        <v>151</v>
      </c>
      <c r="D56" s="72"/>
      <c r="E56" s="73">
        <v>41.1</v>
      </c>
      <c r="F56" s="72"/>
    </row>
    <row r="57" spans="1:31" ht="25.5">
      <c r="C57" s="71" t="s">
        <v>152</v>
      </c>
      <c r="D57" s="72"/>
      <c r="E57" s="73">
        <v>54.98</v>
      </c>
      <c r="F57" s="72"/>
    </row>
    <row r="58" spans="1:31">
      <c r="C58" s="71" t="s">
        <v>153</v>
      </c>
      <c r="D58" s="72"/>
      <c r="E58" s="73">
        <v>23.34</v>
      </c>
      <c r="F58" s="72"/>
    </row>
    <row r="59" spans="1:31">
      <c r="A59" s="5" t="s">
        <v>14</v>
      </c>
      <c r="B59" s="5" t="s">
        <v>60</v>
      </c>
      <c r="C59" s="74" t="s">
        <v>154</v>
      </c>
      <c r="D59" s="74" t="s">
        <v>236</v>
      </c>
      <c r="E59" s="75">
        <v>473.14</v>
      </c>
      <c r="F59" s="75">
        <v>0</v>
      </c>
      <c r="G59" s="18">
        <f>ROUND(E59*AD59,2)</f>
        <v>0</v>
      </c>
      <c r="H59" s="18">
        <f>I59-G59</f>
        <v>0</v>
      </c>
      <c r="I59" s="18">
        <f>ROUND(E59*F59,2)</f>
        <v>0</v>
      </c>
      <c r="J59" s="18">
        <v>1E-4</v>
      </c>
      <c r="K59" s="18">
        <f>E59*J59</f>
        <v>4.7314000000000002E-2</v>
      </c>
      <c r="L59" s="30" t="s">
        <v>259</v>
      </c>
      <c r="M59" s="30" t="s">
        <v>260</v>
      </c>
      <c r="N59" s="18">
        <f>IF(M59="5",H59,0)</f>
        <v>0</v>
      </c>
      <c r="Y59" s="18">
        <f>IF(AC59=0,I59,0)</f>
        <v>0</v>
      </c>
      <c r="Z59" s="18">
        <f>IF(AC59=15,I59,0)</f>
        <v>0</v>
      </c>
      <c r="AA59" s="18">
        <f>IF(AC59=21,I59,0)</f>
        <v>0</v>
      </c>
      <c r="AC59" s="34">
        <v>21</v>
      </c>
      <c r="AD59" s="34">
        <f>F59*1</f>
        <v>0</v>
      </c>
      <c r="AE59" s="34">
        <f>F59*(1-1)</f>
        <v>0</v>
      </c>
    </row>
    <row r="60" spans="1:31">
      <c r="C60" s="71" t="s">
        <v>155</v>
      </c>
      <c r="D60" s="72"/>
      <c r="E60" s="73">
        <v>294.55</v>
      </c>
      <c r="F60" s="72"/>
    </row>
    <row r="61" spans="1:31">
      <c r="C61" s="71" t="s">
        <v>156</v>
      </c>
      <c r="D61" s="72"/>
      <c r="E61" s="73">
        <v>156.06</v>
      </c>
      <c r="F61" s="72"/>
    </row>
    <row r="62" spans="1:31">
      <c r="C62" s="71"/>
      <c r="D62" s="72"/>
      <c r="E62" s="73">
        <v>0</v>
      </c>
      <c r="F62" s="72"/>
    </row>
    <row r="63" spans="1:31">
      <c r="C63" s="71" t="s">
        <v>157</v>
      </c>
      <c r="D63" s="72"/>
      <c r="E63" s="73">
        <v>22.53</v>
      </c>
      <c r="F63" s="72"/>
    </row>
    <row r="64" spans="1:31">
      <c r="A64" s="5" t="s">
        <v>15</v>
      </c>
      <c r="B64" s="5" t="s">
        <v>61</v>
      </c>
      <c r="C64" s="74" t="s">
        <v>158</v>
      </c>
      <c r="D64" s="74" t="s">
        <v>236</v>
      </c>
      <c r="E64" s="75">
        <v>663.43</v>
      </c>
      <c r="F64" s="75">
        <v>0</v>
      </c>
      <c r="G64" s="18">
        <f>ROUND(E64*AD64,2)</f>
        <v>0</v>
      </c>
      <c r="H64" s="18">
        <f>I64-G64</f>
        <v>0</v>
      </c>
      <c r="I64" s="18">
        <f>ROUND(E64*F64,2)</f>
        <v>0</v>
      </c>
      <c r="J64" s="18">
        <v>1E-4</v>
      </c>
      <c r="K64" s="18">
        <f>E64*J64</f>
        <v>6.6342999999999999E-2</v>
      </c>
      <c r="L64" s="30" t="s">
        <v>259</v>
      </c>
      <c r="M64" s="30" t="s">
        <v>260</v>
      </c>
      <c r="N64" s="18">
        <f>IF(M64="5",H64,0)</f>
        <v>0</v>
      </c>
      <c r="Y64" s="18">
        <f>IF(AC64=0,I64,0)</f>
        <v>0</v>
      </c>
      <c r="Z64" s="18">
        <f>IF(AC64=15,I64,0)</f>
        <v>0</v>
      </c>
      <c r="AA64" s="18">
        <f>IF(AC64=21,I64,0)</f>
        <v>0</v>
      </c>
      <c r="AC64" s="34">
        <v>21</v>
      </c>
      <c r="AD64" s="34">
        <f>F64*1</f>
        <v>0</v>
      </c>
      <c r="AE64" s="34">
        <f>F64*(1-1)</f>
        <v>0</v>
      </c>
    </row>
    <row r="65" spans="1:36">
      <c r="C65" s="71" t="s">
        <v>159</v>
      </c>
      <c r="D65" s="72"/>
      <c r="E65" s="73">
        <v>663.43</v>
      </c>
      <c r="F65" s="72"/>
    </row>
    <row r="66" spans="1:36">
      <c r="A66" s="6"/>
      <c r="B66" s="13" t="s">
        <v>62</v>
      </c>
      <c r="C66" s="153" t="s">
        <v>160</v>
      </c>
      <c r="D66" s="154"/>
      <c r="E66" s="154"/>
      <c r="F66" s="154"/>
      <c r="G66" s="36">
        <f>SUM(G67:G82)</f>
        <v>0</v>
      </c>
      <c r="H66" s="36">
        <f>SUM(H67:H82)</f>
        <v>0</v>
      </c>
      <c r="I66" s="36">
        <f>G66+H66</f>
        <v>0</v>
      </c>
      <c r="J66" s="26"/>
      <c r="K66" s="36">
        <f>SUM(K67:K82)</f>
        <v>0.44369200000000003</v>
      </c>
      <c r="L66" s="26"/>
      <c r="O66" s="36">
        <f>IF(P66="PR",I66,SUM(N67:N82))</f>
        <v>0</v>
      </c>
      <c r="P66" s="26" t="s">
        <v>263</v>
      </c>
      <c r="Q66" s="36">
        <f>IF(P66="HS",G66,0)</f>
        <v>0</v>
      </c>
      <c r="R66" s="36">
        <f>IF(P66="HS",H66-O66,0)</f>
        <v>0</v>
      </c>
      <c r="S66" s="36">
        <f>IF(P66="PS",G66,0)</f>
        <v>0</v>
      </c>
      <c r="T66" s="36">
        <f>IF(P66="PS",H66-O66,0)</f>
        <v>0</v>
      </c>
      <c r="U66" s="36">
        <f>IF(P66="MP",G66,0)</f>
        <v>0</v>
      </c>
      <c r="V66" s="36">
        <f>IF(P66="MP",H66-O66,0)</f>
        <v>0</v>
      </c>
      <c r="W66" s="36">
        <f>IF(P66="OM",G66,0)</f>
        <v>0</v>
      </c>
      <c r="X66" s="26"/>
      <c r="AH66" s="36">
        <f>SUM(Y67:Y82)</f>
        <v>0</v>
      </c>
      <c r="AI66" s="36">
        <f>SUM(Z67:Z82)</f>
        <v>0</v>
      </c>
      <c r="AJ66" s="36">
        <f>SUM(AA67:AA82)</f>
        <v>0</v>
      </c>
    </row>
    <row r="67" spans="1:36">
      <c r="A67" s="4" t="s">
        <v>16</v>
      </c>
      <c r="B67" s="4" t="s">
        <v>63</v>
      </c>
      <c r="C67" s="69" t="s">
        <v>161</v>
      </c>
      <c r="D67" s="69" t="s">
        <v>235</v>
      </c>
      <c r="E67" s="70">
        <v>14.4</v>
      </c>
      <c r="F67" s="70">
        <v>0</v>
      </c>
      <c r="G67" s="17">
        <f>ROUND(E67*AD67,2)</f>
        <v>0</v>
      </c>
      <c r="H67" s="17">
        <f>I67-G67</f>
        <v>0</v>
      </c>
      <c r="I67" s="17">
        <f>ROUND(E67*F67,2)</f>
        <v>0</v>
      </c>
      <c r="J67" s="17">
        <v>1.6820000000000002E-2</v>
      </c>
      <c r="K67" s="17">
        <f>E67*J67</f>
        <v>0.24220800000000003</v>
      </c>
      <c r="L67" s="29" t="s">
        <v>259</v>
      </c>
      <c r="M67" s="29" t="s">
        <v>6</v>
      </c>
      <c r="N67" s="17">
        <f>IF(M67="5",H67,0)</f>
        <v>0</v>
      </c>
      <c r="Y67" s="17">
        <f>IF(AC67=0,I67,0)</f>
        <v>0</v>
      </c>
      <c r="Z67" s="17">
        <f>IF(AC67=15,I67,0)</f>
        <v>0</v>
      </c>
      <c r="AA67" s="17">
        <f>IF(AC67=21,I67,0)</f>
        <v>0</v>
      </c>
      <c r="AC67" s="34">
        <v>21</v>
      </c>
      <c r="AD67" s="34">
        <f>F67*0.163865979381443</f>
        <v>0</v>
      </c>
      <c r="AE67" s="34">
        <f>F67*(1-0.163865979381443)</f>
        <v>0</v>
      </c>
    </row>
    <row r="68" spans="1:36">
      <c r="C68" s="71" t="s">
        <v>162</v>
      </c>
      <c r="D68" s="72"/>
      <c r="E68" s="73">
        <v>14.4</v>
      </c>
      <c r="F68" s="72"/>
    </row>
    <row r="69" spans="1:36" ht="25.5">
      <c r="A69" s="4" t="s">
        <v>17</v>
      </c>
      <c r="B69" s="4" t="s">
        <v>64</v>
      </c>
      <c r="C69" s="69" t="s">
        <v>163</v>
      </c>
      <c r="D69" s="69" t="s">
        <v>236</v>
      </c>
      <c r="E69" s="70">
        <v>663.43</v>
      </c>
      <c r="F69" s="70">
        <v>0</v>
      </c>
      <c r="G69" s="17">
        <f>ROUND(E69*AD69,2)</f>
        <v>0</v>
      </c>
      <c r="H69" s="17">
        <f>I69-G69</f>
        <v>0</v>
      </c>
      <c r="I69" s="17">
        <f>ROUND(E69*F69,2)</f>
        <v>0</v>
      </c>
      <c r="J69" s="17">
        <v>1E-4</v>
      </c>
      <c r="K69" s="17">
        <f>E69*J69</f>
        <v>6.6342999999999999E-2</v>
      </c>
      <c r="L69" s="29" t="s">
        <v>259</v>
      </c>
      <c r="M69" s="29" t="s">
        <v>6</v>
      </c>
      <c r="N69" s="17">
        <f>IF(M69="5",H69,0)</f>
        <v>0</v>
      </c>
      <c r="Y69" s="17">
        <f>IF(AC69=0,I69,0)</f>
        <v>0</v>
      </c>
      <c r="Z69" s="17">
        <f>IF(AC69=15,I69,0)</f>
        <v>0</v>
      </c>
      <c r="AA69" s="17">
        <f>IF(AC69=21,I69,0)</f>
        <v>0</v>
      </c>
      <c r="AC69" s="34">
        <v>21</v>
      </c>
      <c r="AD69" s="34">
        <f>F69*0.271457286432161</f>
        <v>0</v>
      </c>
      <c r="AE69" s="34">
        <f>F69*(1-0.271457286432161)</f>
        <v>0</v>
      </c>
    </row>
    <row r="70" spans="1:36" ht="25.5">
      <c r="C70" s="71" t="s">
        <v>148</v>
      </c>
      <c r="D70" s="72"/>
      <c r="E70" s="73">
        <v>63.66</v>
      </c>
      <c r="F70" s="72"/>
    </row>
    <row r="71" spans="1:36" ht="38.25">
      <c r="C71" s="71" t="s">
        <v>384</v>
      </c>
      <c r="D71" s="72"/>
      <c r="E71" s="73">
        <v>103.93</v>
      </c>
      <c r="F71" s="72"/>
    </row>
    <row r="72" spans="1:36" ht="25.5">
      <c r="C72" s="71" t="s">
        <v>149</v>
      </c>
      <c r="D72" s="72"/>
      <c r="E72" s="73">
        <v>204.94</v>
      </c>
      <c r="F72" s="72"/>
    </row>
    <row r="73" spans="1:36" ht="25.5">
      <c r="C73" s="71" t="s">
        <v>150</v>
      </c>
      <c r="D73" s="72"/>
      <c r="E73" s="73">
        <v>171.48</v>
      </c>
      <c r="F73" s="72"/>
    </row>
    <row r="74" spans="1:36" ht="25.5">
      <c r="C74" s="71" t="s">
        <v>151</v>
      </c>
      <c r="D74" s="72"/>
      <c r="E74" s="73">
        <v>41.1</v>
      </c>
      <c r="F74" s="72"/>
    </row>
    <row r="75" spans="1:36" ht="25.5">
      <c r="C75" s="71" t="s">
        <v>152</v>
      </c>
      <c r="D75" s="72"/>
      <c r="E75" s="73">
        <v>54.98</v>
      </c>
      <c r="F75" s="72"/>
    </row>
    <row r="76" spans="1:36">
      <c r="C76" s="71" t="s">
        <v>153</v>
      </c>
      <c r="D76" s="72"/>
      <c r="E76" s="73">
        <v>23.34</v>
      </c>
      <c r="F76" s="72"/>
    </row>
    <row r="77" spans="1:36" ht="25.5">
      <c r="A77" s="4" t="s">
        <v>18</v>
      </c>
      <c r="B77" s="4" t="s">
        <v>65</v>
      </c>
      <c r="C77" s="69" t="s">
        <v>164</v>
      </c>
      <c r="D77" s="69" t="s">
        <v>235</v>
      </c>
      <c r="E77" s="70">
        <v>126.3</v>
      </c>
      <c r="F77" s="70">
        <v>0</v>
      </c>
      <c r="G77" s="17">
        <f>ROUND(E77*AD77,2)</f>
        <v>0</v>
      </c>
      <c r="H77" s="17">
        <f>I77-G77</f>
        <v>0</v>
      </c>
      <c r="I77" s="17">
        <f>ROUND(E77*F77,2)</f>
        <v>0</v>
      </c>
      <c r="J77" s="17">
        <v>7.2000000000000005E-4</v>
      </c>
      <c r="K77" s="17">
        <f>E77*J77</f>
        <v>9.0936000000000003E-2</v>
      </c>
      <c r="L77" s="29" t="s">
        <v>259</v>
      </c>
      <c r="M77" s="29" t="s">
        <v>6</v>
      </c>
      <c r="N77" s="17">
        <f>IF(M77="5",H77,0)</f>
        <v>0</v>
      </c>
      <c r="Y77" s="17">
        <f>IF(AC77=0,I77,0)</f>
        <v>0</v>
      </c>
      <c r="Z77" s="17">
        <f>IF(AC77=15,I77,0)</f>
        <v>0</v>
      </c>
      <c r="AA77" s="17">
        <f>IF(AC77=21,I77,0)</f>
        <v>0</v>
      </c>
      <c r="AC77" s="34">
        <v>21</v>
      </c>
      <c r="AD77" s="34">
        <f>F77*0.599346405228758</f>
        <v>0</v>
      </c>
      <c r="AE77" s="34">
        <f>F77*(1-0.599346405228758)</f>
        <v>0</v>
      </c>
    </row>
    <row r="78" spans="1:36">
      <c r="C78" s="71" t="s">
        <v>165</v>
      </c>
      <c r="D78" s="72"/>
      <c r="E78" s="73">
        <v>111.9</v>
      </c>
      <c r="F78" s="72"/>
    </row>
    <row r="79" spans="1:36">
      <c r="C79" s="71" t="s">
        <v>166</v>
      </c>
      <c r="D79" s="72"/>
      <c r="E79" s="73">
        <v>14.4</v>
      </c>
      <c r="F79" s="72"/>
    </row>
    <row r="80" spans="1:36">
      <c r="A80" s="4" t="s">
        <v>19</v>
      </c>
      <c r="B80" s="4" t="s">
        <v>66</v>
      </c>
      <c r="C80" s="69" t="s">
        <v>167</v>
      </c>
      <c r="D80" s="69" t="s">
        <v>235</v>
      </c>
      <c r="E80" s="70">
        <v>126.3</v>
      </c>
      <c r="F80" s="70">
        <v>0</v>
      </c>
      <c r="G80" s="17">
        <f>ROUND(E80*AD80,2)</f>
        <v>0</v>
      </c>
      <c r="H80" s="17">
        <f>I80-G80</f>
        <v>0</v>
      </c>
      <c r="I80" s="17">
        <f>ROUND(E80*F80,2)</f>
        <v>0</v>
      </c>
      <c r="J80" s="17">
        <v>3.5E-4</v>
      </c>
      <c r="K80" s="17">
        <f>E80*J80</f>
        <v>4.4205000000000001E-2</v>
      </c>
      <c r="L80" s="29" t="s">
        <v>259</v>
      </c>
      <c r="M80" s="29" t="s">
        <v>6</v>
      </c>
      <c r="N80" s="17">
        <f>IF(M80="5",H80,0)</f>
        <v>0</v>
      </c>
      <c r="Y80" s="17">
        <f>IF(AC80=0,I80,0)</f>
        <v>0</v>
      </c>
      <c r="Z80" s="17">
        <f>IF(AC80=15,I80,0)</f>
        <v>0</v>
      </c>
      <c r="AA80" s="17">
        <f>IF(AC80=21,I80,0)</f>
        <v>0</v>
      </c>
      <c r="AC80" s="34">
        <v>21</v>
      </c>
      <c r="AD80" s="34">
        <f>F80*0.476590330788804</f>
        <v>0</v>
      </c>
      <c r="AE80" s="34">
        <f>F80*(1-0.476590330788804)</f>
        <v>0</v>
      </c>
    </row>
    <row r="81" spans="1:36">
      <c r="C81" s="71" t="s">
        <v>168</v>
      </c>
      <c r="D81" s="72"/>
      <c r="E81" s="73">
        <v>126.3</v>
      </c>
      <c r="F81" s="72"/>
    </row>
    <row r="82" spans="1:36">
      <c r="A82" s="4" t="s">
        <v>20</v>
      </c>
      <c r="B82" s="4" t="s">
        <v>67</v>
      </c>
      <c r="C82" s="69" t="s">
        <v>169</v>
      </c>
      <c r="D82" s="69" t="s">
        <v>237</v>
      </c>
      <c r="E82" s="70">
        <v>3.45</v>
      </c>
      <c r="F82" s="70">
        <v>0</v>
      </c>
      <c r="G82" s="17">
        <f>ROUND(E82*AD82,2)</f>
        <v>0</v>
      </c>
      <c r="H82" s="17">
        <f>I82-G82</f>
        <v>0</v>
      </c>
      <c r="I82" s="17">
        <f>ROUND(E82*F82,2)</f>
        <v>0</v>
      </c>
      <c r="J82" s="17">
        <v>0</v>
      </c>
      <c r="K82" s="17">
        <f>E82*J82</f>
        <v>0</v>
      </c>
      <c r="L82" s="29" t="s">
        <v>259</v>
      </c>
      <c r="M82" s="29" t="s">
        <v>10</v>
      </c>
      <c r="N82" s="17">
        <f>IF(M82="5",H82,0)</f>
        <v>0</v>
      </c>
      <c r="Y82" s="17">
        <f>IF(AC82=0,I82,0)</f>
        <v>0</v>
      </c>
      <c r="Z82" s="17">
        <f>IF(AC82=15,I82,0)</f>
        <v>0</v>
      </c>
      <c r="AA82" s="17">
        <f>IF(AC82=21,I82,0)</f>
        <v>0</v>
      </c>
      <c r="AC82" s="34">
        <v>21</v>
      </c>
      <c r="AD82" s="34">
        <f>F82*0</f>
        <v>0</v>
      </c>
      <c r="AE82" s="34">
        <f>F82*(1-0)</f>
        <v>0</v>
      </c>
    </row>
    <row r="83" spans="1:36">
      <c r="C83" s="71" t="s">
        <v>385</v>
      </c>
      <c r="D83" s="72"/>
      <c r="E83" s="73">
        <v>3.45</v>
      </c>
      <c r="F83" s="72"/>
    </row>
    <row r="84" spans="1:36">
      <c r="A84" s="6"/>
      <c r="B84" s="13" t="s">
        <v>68</v>
      </c>
      <c r="C84" s="153" t="s">
        <v>170</v>
      </c>
      <c r="D84" s="154"/>
      <c r="E84" s="154"/>
      <c r="F84" s="154"/>
      <c r="G84" s="36">
        <f>SUM(G85:G103)</f>
        <v>0</v>
      </c>
      <c r="H84" s="36">
        <f>SUM(H85:H103)</f>
        <v>0</v>
      </c>
      <c r="I84" s="36">
        <f>G84+H84</f>
        <v>0</v>
      </c>
      <c r="J84" s="26"/>
      <c r="K84" s="36">
        <f>SUM(K85:K103)</f>
        <v>18.8918961</v>
      </c>
      <c r="L84" s="26"/>
      <c r="O84" s="36">
        <f>IF(P84="PR",I84,SUM(N85:N103))</f>
        <v>0</v>
      </c>
      <c r="P84" s="26" t="s">
        <v>264</v>
      </c>
      <c r="Q84" s="36">
        <f>IF(P84="HS",G84,0)</f>
        <v>0</v>
      </c>
      <c r="R84" s="36">
        <f>IF(P84="HS",H84-O84,0)</f>
        <v>0</v>
      </c>
      <c r="S84" s="36">
        <f>IF(P84="PS",G84,0)</f>
        <v>0</v>
      </c>
      <c r="T84" s="36">
        <f>IF(P84="PS",H84-O84,0)</f>
        <v>0</v>
      </c>
      <c r="U84" s="36">
        <f>IF(P84="MP",G84,0)</f>
        <v>0</v>
      </c>
      <c r="V84" s="36">
        <f>IF(P84="MP",H84-O84,0)</f>
        <v>0</v>
      </c>
      <c r="W84" s="36">
        <f>IF(P84="OM",G84,0)</f>
        <v>0</v>
      </c>
      <c r="X84" s="26"/>
      <c r="AH84" s="36">
        <f>SUM(Y85:Y103)</f>
        <v>0</v>
      </c>
      <c r="AI84" s="36">
        <f>SUM(Z85:Z103)</f>
        <v>0</v>
      </c>
      <c r="AJ84" s="36">
        <f>SUM(AA85:AA103)</f>
        <v>0</v>
      </c>
    </row>
    <row r="85" spans="1:36">
      <c r="A85" s="4" t="s">
        <v>21</v>
      </c>
      <c r="B85" s="4" t="s">
        <v>69</v>
      </c>
      <c r="C85" s="69" t="s">
        <v>171</v>
      </c>
      <c r="D85" s="69" t="s">
        <v>238</v>
      </c>
      <c r="E85" s="70">
        <v>195.86</v>
      </c>
      <c r="F85" s="70">
        <v>0</v>
      </c>
      <c r="G85" s="17">
        <f>ROUND(E85*AD85,2)</f>
        <v>0</v>
      </c>
      <c r="H85" s="17">
        <f>I85-G85</f>
        <v>0</v>
      </c>
      <c r="I85" s="17">
        <f>ROUND(E85*F85,2)</f>
        <v>0</v>
      </c>
      <c r="J85" s="17">
        <v>2.0000000000000002E-5</v>
      </c>
      <c r="K85" s="17">
        <f>E85*J85</f>
        <v>3.9172000000000009E-3</v>
      </c>
      <c r="L85" s="29" t="s">
        <v>259</v>
      </c>
      <c r="M85" s="29" t="s">
        <v>6</v>
      </c>
      <c r="N85" s="17">
        <f>IF(M85="5",H85,0)</f>
        <v>0</v>
      </c>
      <c r="Y85" s="17">
        <f>IF(AC85=0,I85,0)</f>
        <v>0</v>
      </c>
      <c r="Z85" s="17">
        <f>IF(AC85=15,I85,0)</f>
        <v>0</v>
      </c>
      <c r="AA85" s="17">
        <f>IF(AC85=21,I85,0)</f>
        <v>0</v>
      </c>
      <c r="AC85" s="34">
        <v>21</v>
      </c>
      <c r="AD85" s="34">
        <f>F85*0.0241428571428571</f>
        <v>0</v>
      </c>
      <c r="AE85" s="34">
        <f>F85*(1-0.0241428571428571)</f>
        <v>0</v>
      </c>
    </row>
    <row r="86" spans="1:36">
      <c r="C86" s="71" t="s">
        <v>135</v>
      </c>
      <c r="D86" s="72"/>
      <c r="E86" s="73">
        <v>37.86</v>
      </c>
      <c r="F86" s="72"/>
    </row>
    <row r="87" spans="1:36">
      <c r="C87" s="71" t="s">
        <v>172</v>
      </c>
      <c r="D87" s="72"/>
      <c r="E87" s="73">
        <v>7</v>
      </c>
      <c r="F87" s="72"/>
    </row>
    <row r="88" spans="1:36">
      <c r="C88" s="71" t="s">
        <v>173</v>
      </c>
      <c r="D88" s="72"/>
      <c r="E88" s="73">
        <v>141</v>
      </c>
      <c r="F88" s="72"/>
    </row>
    <row r="89" spans="1:36">
      <c r="C89" s="71" t="s">
        <v>138</v>
      </c>
      <c r="D89" s="72"/>
      <c r="E89" s="73">
        <v>10</v>
      </c>
      <c r="F89" s="72"/>
    </row>
    <row r="90" spans="1:36">
      <c r="A90" s="5" t="s">
        <v>22</v>
      </c>
      <c r="B90" s="5" t="s">
        <v>70</v>
      </c>
      <c r="C90" s="74" t="s">
        <v>174</v>
      </c>
      <c r="D90" s="74" t="s">
        <v>236</v>
      </c>
      <c r="E90" s="75">
        <v>205.65</v>
      </c>
      <c r="F90" s="75">
        <v>0</v>
      </c>
      <c r="G90" s="18">
        <f>ROUND(E90*AD90,2)</f>
        <v>0</v>
      </c>
      <c r="H90" s="18">
        <f>I90-G90</f>
        <v>0</v>
      </c>
      <c r="I90" s="18">
        <f>ROUND(E90*F90,2)</f>
        <v>0</v>
      </c>
      <c r="J90" s="18">
        <v>3.2499999999999999E-3</v>
      </c>
      <c r="K90" s="18">
        <f>E90*J90</f>
        <v>0.66836249999999997</v>
      </c>
      <c r="L90" s="30" t="s">
        <v>259</v>
      </c>
      <c r="M90" s="30" t="s">
        <v>260</v>
      </c>
      <c r="N90" s="18">
        <f>IF(M90="5",H90,0)</f>
        <v>0</v>
      </c>
      <c r="Y90" s="18">
        <f>IF(AC90=0,I90,0)</f>
        <v>0</v>
      </c>
      <c r="Z90" s="18">
        <f>IF(AC90=15,I90,0)</f>
        <v>0</v>
      </c>
      <c r="AA90" s="18">
        <f>IF(AC90=21,I90,0)</f>
        <v>0</v>
      </c>
      <c r="AC90" s="34">
        <v>21</v>
      </c>
      <c r="AD90" s="34">
        <f>F90*1</f>
        <v>0</v>
      </c>
      <c r="AE90" s="34">
        <f>F90*(1-1)</f>
        <v>0</v>
      </c>
    </row>
    <row r="91" spans="1:36">
      <c r="C91" s="71" t="s">
        <v>175</v>
      </c>
      <c r="D91" s="72"/>
      <c r="E91" s="73">
        <v>195.86</v>
      </c>
      <c r="F91" s="72"/>
    </row>
    <row r="92" spans="1:36">
      <c r="C92" s="71" t="s">
        <v>176</v>
      </c>
      <c r="D92" s="72"/>
      <c r="E92" s="73">
        <v>9.7899999999999991</v>
      </c>
      <c r="F92" s="72"/>
    </row>
    <row r="93" spans="1:36" ht="38.25">
      <c r="A93" s="4" t="s">
        <v>23</v>
      </c>
      <c r="B93" s="4" t="s">
        <v>71</v>
      </c>
      <c r="C93" s="69" t="s">
        <v>177</v>
      </c>
      <c r="D93" s="69" t="s">
        <v>236</v>
      </c>
      <c r="E93" s="70">
        <v>490.41</v>
      </c>
      <c r="F93" s="70">
        <v>0</v>
      </c>
      <c r="G93" s="17">
        <f>ROUND(E93*AD93,2)</f>
        <v>0</v>
      </c>
      <c r="H93" s="17">
        <f>I93-G93</f>
        <v>0</v>
      </c>
      <c r="I93" s="17">
        <f>ROUND(E93*F93,2)</f>
        <v>0</v>
      </c>
      <c r="J93" s="17">
        <v>4.0000000000000003E-5</v>
      </c>
      <c r="K93" s="17">
        <f>E93*J93</f>
        <v>1.9616400000000003E-2</v>
      </c>
      <c r="L93" s="29" t="s">
        <v>259</v>
      </c>
      <c r="M93" s="29" t="s">
        <v>6</v>
      </c>
      <c r="N93" s="17">
        <f>IF(M93="5",H93,0)</f>
        <v>0</v>
      </c>
      <c r="Y93" s="17">
        <f>IF(AC93=0,I93,0)</f>
        <v>0</v>
      </c>
      <c r="Z93" s="17">
        <f>IF(AC93=15,I93,0)</f>
        <v>0</v>
      </c>
      <c r="AA93" s="17">
        <f>IF(AC93=21,I93,0)</f>
        <v>0</v>
      </c>
      <c r="AC93" s="34">
        <v>21</v>
      </c>
      <c r="AD93" s="34">
        <f>F93*0.351575091575092</f>
        <v>0</v>
      </c>
      <c r="AE93" s="34">
        <f>F93*(1-0.351575091575092)</f>
        <v>0</v>
      </c>
    </row>
    <row r="94" spans="1:36">
      <c r="C94" s="71" t="s">
        <v>135</v>
      </c>
      <c r="D94" s="72"/>
      <c r="E94" s="73">
        <v>37.86</v>
      </c>
      <c r="F94" s="72"/>
    </row>
    <row r="95" spans="1:36">
      <c r="C95" s="71" t="s">
        <v>136</v>
      </c>
      <c r="D95" s="72"/>
      <c r="E95" s="73">
        <v>16.899999999999999</v>
      </c>
      <c r="F95" s="72"/>
    </row>
    <row r="96" spans="1:36" ht="25.5">
      <c r="C96" s="71" t="s">
        <v>137</v>
      </c>
      <c r="D96" s="72"/>
      <c r="E96" s="73">
        <v>188.9</v>
      </c>
      <c r="F96" s="72"/>
    </row>
    <row r="97" spans="1:36">
      <c r="C97" s="71" t="s">
        <v>138</v>
      </c>
      <c r="D97" s="72"/>
      <c r="E97" s="73">
        <v>10</v>
      </c>
      <c r="F97" s="72"/>
    </row>
    <row r="98" spans="1:36">
      <c r="C98" s="71" t="s">
        <v>139</v>
      </c>
      <c r="D98" s="72"/>
      <c r="E98" s="73">
        <v>35.07</v>
      </c>
      <c r="F98" s="72"/>
    </row>
    <row r="99" spans="1:36">
      <c r="C99" s="71" t="s">
        <v>140</v>
      </c>
      <c r="D99" s="72"/>
      <c r="E99" s="73">
        <v>5.82</v>
      </c>
      <c r="F99" s="72"/>
    </row>
    <row r="100" spans="1:36">
      <c r="C100" s="71" t="s">
        <v>178</v>
      </c>
      <c r="D100" s="72"/>
      <c r="E100" s="73">
        <v>195.86</v>
      </c>
      <c r="F100" s="72"/>
    </row>
    <row r="101" spans="1:36" ht="25.5">
      <c r="A101" s="5" t="s">
        <v>24</v>
      </c>
      <c r="B101" s="5" t="s">
        <v>72</v>
      </c>
      <c r="C101" s="74" t="s">
        <v>179</v>
      </c>
      <c r="D101" s="74" t="s">
        <v>239</v>
      </c>
      <c r="E101" s="75">
        <v>1</v>
      </c>
      <c r="F101" s="75">
        <v>0</v>
      </c>
      <c r="G101" s="18">
        <f>ROUND(E101*AD101,2)</f>
        <v>0</v>
      </c>
      <c r="H101" s="18">
        <f>I101-G101</f>
        <v>0</v>
      </c>
      <c r="I101" s="18">
        <f>ROUND(E101*F101,2)</f>
        <v>0</v>
      </c>
      <c r="J101" s="18">
        <v>18.2</v>
      </c>
      <c r="K101" s="18">
        <f>E101*J101</f>
        <v>18.2</v>
      </c>
      <c r="L101" s="30"/>
      <c r="M101" s="30" t="s">
        <v>260</v>
      </c>
      <c r="N101" s="18">
        <f>IF(M101="5",H101,0)</f>
        <v>0</v>
      </c>
      <c r="Y101" s="18">
        <f>IF(AC101=0,I101,0)</f>
        <v>0</v>
      </c>
      <c r="Z101" s="18">
        <f>IF(AC101=15,I101,0)</f>
        <v>0</v>
      </c>
      <c r="AA101" s="18">
        <f>IF(AC101=21,I101,0)</f>
        <v>0</v>
      </c>
      <c r="AC101" s="34">
        <v>21</v>
      </c>
      <c r="AD101" s="34">
        <f>F101*1</f>
        <v>0</v>
      </c>
      <c r="AE101" s="34">
        <f>F101*(1-1)</f>
        <v>0</v>
      </c>
    </row>
    <row r="102" spans="1:36">
      <c r="A102" s="4" t="s">
        <v>25</v>
      </c>
      <c r="B102" s="4" t="s">
        <v>73</v>
      </c>
      <c r="C102" s="69" t="s">
        <v>180</v>
      </c>
      <c r="D102" s="69" t="s">
        <v>237</v>
      </c>
      <c r="E102" s="70">
        <v>18.89</v>
      </c>
      <c r="F102" s="70">
        <v>0</v>
      </c>
      <c r="G102" s="17">
        <f>ROUND(E102*AD102,2)</f>
        <v>0</v>
      </c>
      <c r="H102" s="17">
        <f>I102-G102</f>
        <v>0</v>
      </c>
      <c r="I102" s="17">
        <f>ROUND(E102*F102,2)</f>
        <v>0</v>
      </c>
      <c r="J102" s="17">
        <v>0</v>
      </c>
      <c r="K102" s="17">
        <f>E102*J102</f>
        <v>0</v>
      </c>
      <c r="L102" s="29" t="s">
        <v>259</v>
      </c>
      <c r="M102" s="29" t="s">
        <v>10</v>
      </c>
      <c r="N102" s="17">
        <f>IF(M102="5",H102,0)</f>
        <v>0</v>
      </c>
      <c r="Y102" s="17">
        <f>IF(AC102=0,I102,0)</f>
        <v>0</v>
      </c>
      <c r="Z102" s="17">
        <f>IF(AC102=15,I102,0)</f>
        <v>0</v>
      </c>
      <c r="AA102" s="17">
        <f>IF(AC102=21,I102,0)</f>
        <v>0</v>
      </c>
      <c r="AC102" s="34">
        <v>21</v>
      </c>
      <c r="AD102" s="34">
        <f>F102*0</f>
        <v>0</v>
      </c>
      <c r="AE102" s="34">
        <f>F102*(1-0)</f>
        <v>0</v>
      </c>
    </row>
    <row r="103" spans="1:36">
      <c r="C103" s="71" t="s">
        <v>386</v>
      </c>
      <c r="D103" s="72"/>
      <c r="E103" s="73">
        <v>18.89</v>
      </c>
      <c r="F103" s="72"/>
    </row>
    <row r="104" spans="1:36">
      <c r="A104" s="6"/>
      <c r="B104" s="13" t="s">
        <v>74</v>
      </c>
      <c r="C104" s="153" t="s">
        <v>181</v>
      </c>
      <c r="D104" s="154"/>
      <c r="E104" s="154"/>
      <c r="F104" s="154"/>
      <c r="G104" s="36">
        <f>SUM(G105:G109)</f>
        <v>0</v>
      </c>
      <c r="H104" s="36">
        <f>SUM(H105:H109)</f>
        <v>0</v>
      </c>
      <c r="I104" s="36">
        <f>G104+H104</f>
        <v>0</v>
      </c>
      <c r="J104" s="26"/>
      <c r="K104" s="36">
        <f>SUM(K105:K109)</f>
        <v>8.4840000000000002E-3</v>
      </c>
      <c r="L104" s="26"/>
      <c r="O104" s="36">
        <f>IF(P104="PR",I104,SUM(N105:N109))</f>
        <v>0</v>
      </c>
      <c r="P104" s="26" t="s">
        <v>264</v>
      </c>
      <c r="Q104" s="36">
        <f>IF(P104="HS",G104,0)</f>
        <v>0</v>
      </c>
      <c r="R104" s="36">
        <f>IF(P104="HS",H104-O104,0)</f>
        <v>0</v>
      </c>
      <c r="S104" s="36">
        <f>IF(P104="PS",G104,0)</f>
        <v>0</v>
      </c>
      <c r="T104" s="36">
        <f>IF(P104="PS",H104-O104,0)</f>
        <v>0</v>
      </c>
      <c r="U104" s="36">
        <f>IF(P104="MP",G104,0)</f>
        <v>0</v>
      </c>
      <c r="V104" s="36">
        <f>IF(P104="MP",H104-O104,0)</f>
        <v>0</v>
      </c>
      <c r="W104" s="36">
        <f>IF(P104="OM",G104,0)</f>
        <v>0</v>
      </c>
      <c r="X104" s="26"/>
      <c r="AH104" s="36">
        <f>SUM(Y105:Y109)</f>
        <v>0</v>
      </c>
      <c r="AI104" s="36">
        <f>SUM(Z105:Z109)</f>
        <v>0</v>
      </c>
      <c r="AJ104" s="36">
        <f>SUM(AA105:AA109)</f>
        <v>0</v>
      </c>
    </row>
    <row r="105" spans="1:36">
      <c r="A105" s="4" t="s">
        <v>26</v>
      </c>
      <c r="B105" s="4" t="s">
        <v>75</v>
      </c>
      <c r="C105" s="69" t="s">
        <v>182</v>
      </c>
      <c r="D105" s="69" t="s">
        <v>235</v>
      </c>
      <c r="E105" s="70">
        <v>2.8</v>
      </c>
      <c r="F105" s="70">
        <v>0</v>
      </c>
      <c r="G105" s="17">
        <f>ROUND(E105*AD105,2)</f>
        <v>0</v>
      </c>
      <c r="H105" s="17">
        <f>I105-G105</f>
        <v>0</v>
      </c>
      <c r="I105" s="17">
        <f>ROUND(E105*F105,2)</f>
        <v>0</v>
      </c>
      <c r="J105" s="17">
        <v>3.0000000000000001E-5</v>
      </c>
      <c r="K105" s="17">
        <f>E105*J105</f>
        <v>8.3999999999999995E-5</v>
      </c>
      <c r="L105" s="29" t="s">
        <v>259</v>
      </c>
      <c r="M105" s="29" t="s">
        <v>6</v>
      </c>
      <c r="N105" s="17">
        <f>IF(M105="5",H105,0)</f>
        <v>0</v>
      </c>
      <c r="Y105" s="17">
        <f>IF(AC105=0,I105,0)</f>
        <v>0</v>
      </c>
      <c r="Z105" s="17">
        <f>IF(AC105=15,I105,0)</f>
        <v>0</v>
      </c>
      <c r="AA105" s="17">
        <f>IF(AC105=21,I105,0)</f>
        <v>0</v>
      </c>
      <c r="AC105" s="34">
        <v>21</v>
      </c>
      <c r="AD105" s="34">
        <f>F105*0.0153968253968254</f>
        <v>0</v>
      </c>
      <c r="AE105" s="34">
        <f>F105*(1-0.0153968253968254)</f>
        <v>0</v>
      </c>
    </row>
    <row r="106" spans="1:36">
      <c r="C106" s="71" t="s">
        <v>183</v>
      </c>
      <c r="D106" s="72"/>
      <c r="E106" s="73">
        <v>2.8</v>
      </c>
      <c r="F106" s="72"/>
    </row>
    <row r="107" spans="1:36">
      <c r="A107" s="5" t="s">
        <v>27</v>
      </c>
      <c r="B107" s="5" t="s">
        <v>76</v>
      </c>
      <c r="C107" s="74" t="s">
        <v>184</v>
      </c>
      <c r="D107" s="74" t="s">
        <v>235</v>
      </c>
      <c r="E107" s="75">
        <v>2.8</v>
      </c>
      <c r="F107" s="75">
        <v>0</v>
      </c>
      <c r="G107" s="18">
        <f>ROUND(E107*AD107,2)</f>
        <v>0</v>
      </c>
      <c r="H107" s="18">
        <f>I107-G107</f>
        <v>0</v>
      </c>
      <c r="I107" s="18">
        <f>ROUND(E107*F107,2)</f>
        <v>0</v>
      </c>
      <c r="J107" s="18">
        <v>3.0000000000000001E-3</v>
      </c>
      <c r="K107" s="18">
        <f>E107*J107</f>
        <v>8.3999999999999995E-3</v>
      </c>
      <c r="L107" s="30" t="s">
        <v>259</v>
      </c>
      <c r="M107" s="30" t="s">
        <v>260</v>
      </c>
      <c r="N107" s="18">
        <f>IF(M107="5",H107,0)</f>
        <v>0</v>
      </c>
      <c r="Y107" s="18">
        <f>IF(AC107=0,I107,0)</f>
        <v>0</v>
      </c>
      <c r="Z107" s="18">
        <f>IF(AC107=15,I107,0)</f>
        <v>0</v>
      </c>
      <c r="AA107" s="18">
        <f>IF(AC107=21,I107,0)</f>
        <v>0</v>
      </c>
      <c r="AC107" s="34">
        <v>21</v>
      </c>
      <c r="AD107" s="34">
        <f>F107*1</f>
        <v>0</v>
      </c>
      <c r="AE107" s="34">
        <f>F107*(1-1)</f>
        <v>0</v>
      </c>
    </row>
    <row r="108" spans="1:36">
      <c r="C108" s="71" t="s">
        <v>183</v>
      </c>
      <c r="D108" s="72"/>
      <c r="E108" s="73">
        <v>2.8</v>
      </c>
      <c r="F108" s="72"/>
    </row>
    <row r="109" spans="1:36">
      <c r="A109" s="4" t="s">
        <v>28</v>
      </c>
      <c r="B109" s="4" t="s">
        <v>77</v>
      </c>
      <c r="C109" s="69" t="s">
        <v>185</v>
      </c>
      <c r="D109" s="69" t="s">
        <v>237</v>
      </c>
      <c r="E109" s="70">
        <v>0.01</v>
      </c>
      <c r="F109" s="70">
        <v>0</v>
      </c>
      <c r="G109" s="17">
        <f>ROUND(E109*AD109,2)</f>
        <v>0</v>
      </c>
      <c r="H109" s="17">
        <f>I109-G109</f>
        <v>0</v>
      </c>
      <c r="I109" s="17">
        <f>ROUND(E109*F109,2)</f>
        <v>0</v>
      </c>
      <c r="J109" s="17">
        <v>0</v>
      </c>
      <c r="K109" s="17">
        <f>E109*J109</f>
        <v>0</v>
      </c>
      <c r="L109" s="29" t="s">
        <v>259</v>
      </c>
      <c r="M109" s="29" t="s">
        <v>10</v>
      </c>
      <c r="N109" s="17">
        <f>IF(M109="5",H109,0)</f>
        <v>0</v>
      </c>
      <c r="Y109" s="17">
        <f>IF(AC109=0,I109,0)</f>
        <v>0</v>
      </c>
      <c r="Z109" s="17">
        <f>IF(AC109=15,I109,0)</f>
        <v>0</v>
      </c>
      <c r="AA109" s="17">
        <f>IF(AC109=21,I109,0)</f>
        <v>0</v>
      </c>
      <c r="AC109" s="34">
        <v>21</v>
      </c>
      <c r="AD109" s="34">
        <f>F109*0</f>
        <v>0</v>
      </c>
      <c r="AE109" s="34">
        <f>F109*(1-0)</f>
        <v>0</v>
      </c>
    </row>
    <row r="110" spans="1:36">
      <c r="C110" s="71" t="s">
        <v>186</v>
      </c>
      <c r="D110" s="72"/>
      <c r="E110" s="73">
        <v>0.01</v>
      </c>
      <c r="F110" s="72"/>
    </row>
    <row r="111" spans="1:36">
      <c r="A111" s="6"/>
      <c r="B111" s="13" t="s">
        <v>78</v>
      </c>
      <c r="C111" s="153" t="s">
        <v>187</v>
      </c>
      <c r="D111" s="154"/>
      <c r="E111" s="154"/>
      <c r="F111" s="154"/>
      <c r="G111" s="36">
        <f>SUM(G112:G120)</f>
        <v>0</v>
      </c>
      <c r="H111" s="36">
        <f>SUM(H112:H120)</f>
        <v>0</v>
      </c>
      <c r="I111" s="36">
        <f>G111+H111</f>
        <v>0</v>
      </c>
      <c r="J111" s="26"/>
      <c r="K111" s="36">
        <f>SUM(K112:K120)</f>
        <v>0.81548940000000003</v>
      </c>
      <c r="L111" s="26"/>
      <c r="O111" s="36">
        <f>IF(P111="PR",I111,SUM(N112:N120))</f>
        <v>0</v>
      </c>
      <c r="P111" s="26" t="s">
        <v>264</v>
      </c>
      <c r="Q111" s="36">
        <f>IF(P111="HS",G111,0)</f>
        <v>0</v>
      </c>
      <c r="R111" s="36">
        <f>IF(P111="HS",H111-O111,0)</f>
        <v>0</v>
      </c>
      <c r="S111" s="36">
        <f>IF(P111="PS",G111,0)</f>
        <v>0</v>
      </c>
      <c r="T111" s="36">
        <f>IF(P111="PS",H111-O111,0)</f>
        <v>0</v>
      </c>
      <c r="U111" s="36">
        <f>IF(P111="MP",G111,0)</f>
        <v>0</v>
      </c>
      <c r="V111" s="36">
        <f>IF(P111="MP",H111-O111,0)</f>
        <v>0</v>
      </c>
      <c r="W111" s="36">
        <f>IF(P111="OM",G111,0)</f>
        <v>0</v>
      </c>
      <c r="X111" s="26"/>
      <c r="AH111" s="36">
        <f>SUM(Y112:Y120)</f>
        <v>0</v>
      </c>
      <c r="AI111" s="36">
        <f>SUM(Z112:Z120)</f>
        <v>0</v>
      </c>
      <c r="AJ111" s="36">
        <f>SUM(AA112:AA120)</f>
        <v>0</v>
      </c>
    </row>
    <row r="112" spans="1:36">
      <c r="A112" s="4" t="s">
        <v>29</v>
      </c>
      <c r="B112" s="4" t="s">
        <v>79</v>
      </c>
      <c r="C112" s="69" t="s">
        <v>188</v>
      </c>
      <c r="D112" s="69" t="s">
        <v>235</v>
      </c>
      <c r="E112" s="70">
        <v>47.22</v>
      </c>
      <c r="F112" s="70">
        <v>0</v>
      </c>
      <c r="G112" s="17">
        <f>ROUND(E112*AD112,2)</f>
        <v>0</v>
      </c>
      <c r="H112" s="17">
        <f>I112-G112</f>
        <v>0</v>
      </c>
      <c r="I112" s="17">
        <f>ROUND(E112*F112,2)</f>
        <v>0</v>
      </c>
      <c r="J112" s="17">
        <v>1.7270000000000001E-2</v>
      </c>
      <c r="K112" s="17">
        <f>E112*J112</f>
        <v>0.81548940000000003</v>
      </c>
      <c r="L112" s="29" t="s">
        <v>259</v>
      </c>
      <c r="M112" s="29" t="s">
        <v>8</v>
      </c>
      <c r="N112" s="17">
        <f>IF(M112="5",H112,0)</f>
        <v>0</v>
      </c>
      <c r="Y112" s="17">
        <f>IF(AC112=0,I112,0)</f>
        <v>0</v>
      </c>
      <c r="Z112" s="17">
        <f>IF(AC112=15,I112,0)</f>
        <v>0</v>
      </c>
      <c r="AA112" s="17">
        <f>IF(AC112=21,I112,0)</f>
        <v>0</v>
      </c>
      <c r="AC112" s="34">
        <v>21</v>
      </c>
      <c r="AD112" s="34">
        <f>F112*0.669343434343434</f>
        <v>0</v>
      </c>
      <c r="AE112" s="34">
        <f>F112*(1-0.669343434343434)</f>
        <v>0</v>
      </c>
    </row>
    <row r="113" spans="1:36" ht="25.5">
      <c r="C113" s="71" t="s">
        <v>189</v>
      </c>
      <c r="D113" s="72"/>
      <c r="E113" s="73">
        <v>3.38</v>
      </c>
      <c r="F113" s="72"/>
    </row>
    <row r="114" spans="1:36">
      <c r="C114" s="71" t="s">
        <v>190</v>
      </c>
      <c r="D114" s="72"/>
      <c r="E114" s="73">
        <v>9.58</v>
      </c>
      <c r="F114" s="72"/>
    </row>
    <row r="115" spans="1:36">
      <c r="C115" s="71" t="s">
        <v>191</v>
      </c>
      <c r="D115" s="72"/>
      <c r="E115" s="73">
        <v>12.9</v>
      </c>
      <c r="F115" s="72"/>
    </row>
    <row r="116" spans="1:36" ht="25.5">
      <c r="C116" s="71" t="s">
        <v>192</v>
      </c>
      <c r="D116" s="72"/>
      <c r="E116" s="73">
        <v>11.57</v>
      </c>
      <c r="F116" s="72"/>
    </row>
    <row r="117" spans="1:36">
      <c r="C117" s="71" t="s">
        <v>193</v>
      </c>
      <c r="D117" s="72"/>
      <c r="E117" s="73">
        <v>3.1</v>
      </c>
      <c r="F117" s="72"/>
    </row>
    <row r="118" spans="1:36">
      <c r="C118" s="71" t="s">
        <v>194</v>
      </c>
      <c r="D118" s="72"/>
      <c r="E118" s="73">
        <v>4.6500000000000004</v>
      </c>
      <c r="F118" s="72"/>
    </row>
    <row r="119" spans="1:36">
      <c r="C119" s="71" t="s">
        <v>195</v>
      </c>
      <c r="D119" s="72"/>
      <c r="E119" s="73">
        <v>2.04</v>
      </c>
      <c r="F119" s="72"/>
    </row>
    <row r="120" spans="1:36">
      <c r="A120" s="4" t="s">
        <v>30</v>
      </c>
      <c r="B120" s="4" t="s">
        <v>80</v>
      </c>
      <c r="C120" s="69" t="s">
        <v>196</v>
      </c>
      <c r="D120" s="69" t="s">
        <v>237</v>
      </c>
      <c r="E120" s="70">
        <v>0.82</v>
      </c>
      <c r="F120" s="70">
        <v>0</v>
      </c>
      <c r="G120" s="17">
        <f>ROUND(E120*AD120,2)</f>
        <v>0</v>
      </c>
      <c r="H120" s="17">
        <f>I120-G120</f>
        <v>0</v>
      </c>
      <c r="I120" s="17">
        <f>ROUND(E120*F120,2)</f>
        <v>0</v>
      </c>
      <c r="J120" s="17">
        <v>0</v>
      </c>
      <c r="K120" s="17">
        <f>E120*J120</f>
        <v>0</v>
      </c>
      <c r="L120" s="29" t="s">
        <v>259</v>
      </c>
      <c r="M120" s="29" t="s">
        <v>10</v>
      </c>
      <c r="N120" s="17">
        <f>IF(M120="5",H120,0)</f>
        <v>0</v>
      </c>
      <c r="Y120" s="17">
        <f>IF(AC120=0,I120,0)</f>
        <v>0</v>
      </c>
      <c r="Z120" s="17">
        <f>IF(AC120=15,I120,0)</f>
        <v>0</v>
      </c>
      <c r="AA120" s="17">
        <f>IF(AC120=21,I120,0)</f>
        <v>0</v>
      </c>
      <c r="AC120" s="34">
        <v>21</v>
      </c>
      <c r="AD120" s="34">
        <f>F120*0</f>
        <v>0</v>
      </c>
      <c r="AE120" s="34">
        <f>F120*(1-0)</f>
        <v>0</v>
      </c>
    </row>
    <row r="121" spans="1:36">
      <c r="C121" s="71" t="s">
        <v>197</v>
      </c>
      <c r="D121" s="72"/>
      <c r="E121" s="73">
        <v>0.82</v>
      </c>
      <c r="F121" s="72"/>
    </row>
    <row r="122" spans="1:36">
      <c r="A122" s="6"/>
      <c r="B122" s="13" t="s">
        <v>81</v>
      </c>
      <c r="C122" s="153" t="s">
        <v>198</v>
      </c>
      <c r="D122" s="154"/>
      <c r="E122" s="154"/>
      <c r="F122" s="154"/>
      <c r="G122" s="36">
        <f>SUM(G123:G126)</f>
        <v>0</v>
      </c>
      <c r="H122" s="36">
        <f>SUM(H123:H126)</f>
        <v>0</v>
      </c>
      <c r="I122" s="36">
        <f>G122+H122</f>
        <v>0</v>
      </c>
      <c r="J122" s="26"/>
      <c r="K122" s="36">
        <f>SUM(K123:K126)</f>
        <v>0.170819</v>
      </c>
      <c r="L122" s="26"/>
      <c r="O122" s="36">
        <f>IF(P122="PR",I122,SUM(N123:N126))</f>
        <v>0</v>
      </c>
      <c r="P122" s="26" t="s">
        <v>264</v>
      </c>
      <c r="Q122" s="36">
        <f>IF(P122="HS",G122,0)</f>
        <v>0</v>
      </c>
      <c r="R122" s="36">
        <f>IF(P122="HS",H122-O122,0)</f>
        <v>0</v>
      </c>
      <c r="S122" s="36">
        <f>IF(P122="PS",G122,0)</f>
        <v>0</v>
      </c>
      <c r="T122" s="36">
        <f>IF(P122="PS",H122-O122,0)</f>
        <v>0</v>
      </c>
      <c r="U122" s="36">
        <f>IF(P122="MP",G122,0)</f>
        <v>0</v>
      </c>
      <c r="V122" s="36">
        <f>IF(P122="MP",H122-O122,0)</f>
        <v>0</v>
      </c>
      <c r="W122" s="36">
        <f>IF(P122="OM",G122,0)</f>
        <v>0</v>
      </c>
      <c r="X122" s="26"/>
      <c r="AH122" s="36">
        <f>SUM(Y123:Y126)</f>
        <v>0</v>
      </c>
      <c r="AI122" s="36">
        <f>SUM(Z123:Z126)</f>
        <v>0</v>
      </c>
      <c r="AJ122" s="36">
        <f>SUM(AA123:AA126)</f>
        <v>0</v>
      </c>
    </row>
    <row r="123" spans="1:36">
      <c r="A123" s="4" t="s">
        <v>31</v>
      </c>
      <c r="B123" s="4" t="s">
        <v>82</v>
      </c>
      <c r="C123" s="69" t="s">
        <v>199</v>
      </c>
      <c r="D123" s="69" t="s">
        <v>235</v>
      </c>
      <c r="E123" s="70">
        <v>334.9</v>
      </c>
      <c r="F123" s="70">
        <v>0</v>
      </c>
      <c r="G123" s="17">
        <f>ROUND(E123*AD123,2)</f>
        <v>0</v>
      </c>
      <c r="H123" s="17">
        <f>I123-G123</f>
        <v>0</v>
      </c>
      <c r="I123" s="17">
        <f>ROUND(E123*F123,2)</f>
        <v>0</v>
      </c>
      <c r="J123" s="17">
        <v>3.1E-4</v>
      </c>
      <c r="K123" s="17">
        <f>E123*J123</f>
        <v>0.10381899999999999</v>
      </c>
      <c r="L123" s="29" t="s">
        <v>259</v>
      </c>
      <c r="M123" s="29" t="s">
        <v>6</v>
      </c>
      <c r="N123" s="17">
        <f>IF(M123="5",H123,0)</f>
        <v>0</v>
      </c>
      <c r="Y123" s="17">
        <f>IF(AC123=0,I123,0)</f>
        <v>0</v>
      </c>
      <c r="Z123" s="17">
        <f>IF(AC123=15,I123,0)</f>
        <v>0</v>
      </c>
      <c r="AA123" s="17">
        <f>IF(AC123=21,I123,0)</f>
        <v>0</v>
      </c>
      <c r="AC123" s="34">
        <v>21</v>
      </c>
      <c r="AD123" s="34">
        <f>F123*0.284345794392523</f>
        <v>0</v>
      </c>
      <c r="AE123" s="34">
        <f>F123*(1-0.284345794392523)</f>
        <v>0</v>
      </c>
    </row>
    <row r="124" spans="1:36">
      <c r="C124" s="71" t="s">
        <v>200</v>
      </c>
      <c r="D124" s="72"/>
      <c r="E124" s="73">
        <v>111.9</v>
      </c>
      <c r="F124" s="72"/>
    </row>
    <row r="125" spans="1:36" ht="25.5">
      <c r="C125" s="71" t="s">
        <v>201</v>
      </c>
      <c r="D125" s="72"/>
      <c r="E125" s="73">
        <v>223</v>
      </c>
      <c r="F125" s="72"/>
    </row>
    <row r="126" spans="1:36">
      <c r="A126" s="4" t="s">
        <v>32</v>
      </c>
      <c r="B126" s="4" t="s">
        <v>83</v>
      </c>
      <c r="C126" s="69" t="s">
        <v>202</v>
      </c>
      <c r="D126" s="69" t="s">
        <v>235</v>
      </c>
      <c r="E126" s="70">
        <v>335</v>
      </c>
      <c r="F126" s="70">
        <v>0</v>
      </c>
      <c r="G126" s="17">
        <f>ROUND(E126*AD126,2)</f>
        <v>0</v>
      </c>
      <c r="H126" s="17">
        <f>I126-G126</f>
        <v>0</v>
      </c>
      <c r="I126" s="17">
        <f>ROUND(E126*F126,2)</f>
        <v>0</v>
      </c>
      <c r="J126" s="17">
        <v>2.0000000000000001E-4</v>
      </c>
      <c r="K126" s="17">
        <f>E126*J126</f>
        <v>6.7000000000000004E-2</v>
      </c>
      <c r="L126" s="29" t="s">
        <v>259</v>
      </c>
      <c r="M126" s="29" t="s">
        <v>6</v>
      </c>
      <c r="N126" s="17">
        <f>IF(M126="5",H126,0)</f>
        <v>0</v>
      </c>
      <c r="Y126" s="17">
        <f>IF(AC126=0,I126,0)</f>
        <v>0</v>
      </c>
      <c r="Z126" s="17">
        <f>IF(AC126=15,I126,0)</f>
        <v>0</v>
      </c>
      <c r="AA126" s="17">
        <f>IF(AC126=21,I126,0)</f>
        <v>0</v>
      </c>
      <c r="AC126" s="34">
        <v>21</v>
      </c>
      <c r="AD126" s="34">
        <f>F126*0.470810810810811</f>
        <v>0</v>
      </c>
      <c r="AE126" s="34">
        <f>F126*(1-0.470810810810811)</f>
        <v>0</v>
      </c>
    </row>
    <row r="127" spans="1:36">
      <c r="C127" s="71" t="s">
        <v>203</v>
      </c>
      <c r="D127" s="72"/>
      <c r="E127" s="73">
        <v>335</v>
      </c>
      <c r="F127" s="72"/>
    </row>
    <row r="128" spans="1:36">
      <c r="A128" s="6"/>
      <c r="B128" s="13" t="s">
        <v>84</v>
      </c>
      <c r="C128" s="153" t="s">
        <v>204</v>
      </c>
      <c r="D128" s="154"/>
      <c r="E128" s="154"/>
      <c r="F128" s="154"/>
      <c r="G128" s="36">
        <f>SUM(G129:G129)</f>
        <v>0</v>
      </c>
      <c r="H128" s="36">
        <f>SUM(H129:H129)</f>
        <v>0</v>
      </c>
      <c r="I128" s="36">
        <f>G128+H128</f>
        <v>0</v>
      </c>
      <c r="J128" s="26"/>
      <c r="K128" s="36">
        <f>SUM(K129:K129)</f>
        <v>0.72806400000000004</v>
      </c>
      <c r="L128" s="26"/>
      <c r="O128" s="36">
        <f>IF(P128="PR",I128,SUM(N129:N129))</f>
        <v>0</v>
      </c>
      <c r="P128" s="26" t="s">
        <v>263</v>
      </c>
      <c r="Q128" s="36">
        <f>IF(P128="HS",G128,0)</f>
        <v>0</v>
      </c>
      <c r="R128" s="36">
        <f>IF(P128="HS",H128-O128,0)</f>
        <v>0</v>
      </c>
      <c r="S128" s="36">
        <f>IF(P128="PS",G128,0)</f>
        <v>0</v>
      </c>
      <c r="T128" s="36">
        <f>IF(P128="PS",H128-O128,0)</f>
        <v>0</v>
      </c>
      <c r="U128" s="36">
        <f>IF(P128="MP",G128,0)</f>
        <v>0</v>
      </c>
      <c r="V128" s="36">
        <f>IF(P128="MP",H128-O128,0)</f>
        <v>0</v>
      </c>
      <c r="W128" s="36">
        <f>IF(P128="OM",G128,0)</f>
        <v>0</v>
      </c>
      <c r="X128" s="26"/>
      <c r="AH128" s="36">
        <f>SUM(Y129:Y129)</f>
        <v>0</v>
      </c>
      <c r="AI128" s="36">
        <f>SUM(Z129:Z129)</f>
        <v>0</v>
      </c>
      <c r="AJ128" s="36">
        <f>SUM(AA129:AA129)</f>
        <v>0</v>
      </c>
    </row>
    <row r="129" spans="1:36">
      <c r="A129" s="4" t="s">
        <v>33</v>
      </c>
      <c r="B129" s="4" t="s">
        <v>85</v>
      </c>
      <c r="C129" s="69" t="s">
        <v>205</v>
      </c>
      <c r="D129" s="69" t="s">
        <v>235</v>
      </c>
      <c r="E129" s="70">
        <v>460.8</v>
      </c>
      <c r="F129" s="70">
        <v>0</v>
      </c>
      <c r="G129" s="17">
        <f>ROUND(E129*AD129,2)</f>
        <v>0</v>
      </c>
      <c r="H129" s="17">
        <f>I129-G129</f>
        <v>0</v>
      </c>
      <c r="I129" s="17">
        <f>ROUND(E129*F129,2)</f>
        <v>0</v>
      </c>
      <c r="J129" s="17">
        <v>1.58E-3</v>
      </c>
      <c r="K129" s="17">
        <f>E129*J129</f>
        <v>0.72806400000000004</v>
      </c>
      <c r="L129" s="29" t="s">
        <v>259</v>
      </c>
      <c r="M129" s="29" t="s">
        <v>6</v>
      </c>
      <c r="N129" s="17">
        <f>IF(M129="5",H129,0)</f>
        <v>0</v>
      </c>
      <c r="Y129" s="17">
        <f>IF(AC129=0,I129,0)</f>
        <v>0</v>
      </c>
      <c r="Z129" s="17">
        <f>IF(AC129=15,I129,0)</f>
        <v>0</v>
      </c>
      <c r="AA129" s="17">
        <f>IF(AC129=21,I129,0)</f>
        <v>0</v>
      </c>
      <c r="AC129" s="34">
        <v>21</v>
      </c>
      <c r="AD129" s="34">
        <f>F129*0.464975609756098</f>
        <v>0</v>
      </c>
      <c r="AE129" s="34">
        <f>F129*(1-0.464975609756098)</f>
        <v>0</v>
      </c>
    </row>
    <row r="130" spans="1:36">
      <c r="C130" s="71" t="s">
        <v>206</v>
      </c>
      <c r="D130" s="72"/>
      <c r="E130" s="73">
        <v>460.8</v>
      </c>
      <c r="F130" s="72"/>
    </row>
    <row r="131" spans="1:36">
      <c r="A131" s="6"/>
      <c r="B131" s="13" t="s">
        <v>86</v>
      </c>
      <c r="C131" s="153" t="s">
        <v>207</v>
      </c>
      <c r="D131" s="154"/>
      <c r="E131" s="154"/>
      <c r="F131" s="154"/>
      <c r="G131" s="36">
        <f>SUM(G132:G132)</f>
        <v>0</v>
      </c>
      <c r="H131" s="36">
        <f>SUM(H132:H132)</f>
        <v>0</v>
      </c>
      <c r="I131" s="36">
        <f>G131+H131</f>
        <v>0</v>
      </c>
      <c r="J131" s="26"/>
      <c r="K131" s="36">
        <f>SUM(K132:K132)</f>
        <v>1.6960000000000003E-2</v>
      </c>
      <c r="L131" s="26"/>
      <c r="O131" s="36">
        <f>IF(P131="PR",I131,SUM(N132:N132))</f>
        <v>0</v>
      </c>
      <c r="P131" s="26" t="s">
        <v>263</v>
      </c>
      <c r="Q131" s="36">
        <f>IF(P131="HS",G131,0)</f>
        <v>0</v>
      </c>
      <c r="R131" s="36">
        <f>IF(P131="HS",H131-O131,0)</f>
        <v>0</v>
      </c>
      <c r="S131" s="36">
        <f>IF(P131="PS",G131,0)</f>
        <v>0</v>
      </c>
      <c r="T131" s="36">
        <f>IF(P131="PS",H131-O131,0)</f>
        <v>0</v>
      </c>
      <c r="U131" s="36">
        <f>IF(P131="MP",G131,0)</f>
        <v>0</v>
      </c>
      <c r="V131" s="36">
        <f>IF(P131="MP",H131-O131,0)</f>
        <v>0</v>
      </c>
      <c r="W131" s="36">
        <f>IF(P131="OM",G131,0)</f>
        <v>0</v>
      </c>
      <c r="X131" s="26"/>
      <c r="AH131" s="36">
        <f>SUM(Y132:Y132)</f>
        <v>0</v>
      </c>
      <c r="AI131" s="36">
        <f>SUM(Z132:Z132)</f>
        <v>0</v>
      </c>
      <c r="AJ131" s="36">
        <f>SUM(AA132:AA132)</f>
        <v>0</v>
      </c>
    </row>
    <row r="132" spans="1:36">
      <c r="A132" s="4" t="s">
        <v>34</v>
      </c>
      <c r="B132" s="4" t="s">
        <v>87</v>
      </c>
      <c r="C132" s="69" t="s">
        <v>208</v>
      </c>
      <c r="D132" s="69" t="s">
        <v>235</v>
      </c>
      <c r="E132" s="70">
        <v>424</v>
      </c>
      <c r="F132" s="70">
        <v>0</v>
      </c>
      <c r="G132" s="17">
        <f>ROUND(E132*AD132,2)</f>
        <v>0</v>
      </c>
      <c r="H132" s="17">
        <f>I132-G132</f>
        <v>0</v>
      </c>
      <c r="I132" s="17">
        <f>ROUND(E132*F132,2)</f>
        <v>0</v>
      </c>
      <c r="J132" s="17">
        <v>4.0000000000000003E-5</v>
      </c>
      <c r="K132" s="17">
        <f>E132*J132</f>
        <v>1.6960000000000003E-2</v>
      </c>
      <c r="L132" s="29" t="s">
        <v>259</v>
      </c>
      <c r="M132" s="29" t="s">
        <v>6</v>
      </c>
      <c r="N132" s="17">
        <f>IF(M132="5",H132,0)</f>
        <v>0</v>
      </c>
      <c r="Y132" s="17">
        <f>IF(AC132=0,I132,0)</f>
        <v>0</v>
      </c>
      <c r="Z132" s="17">
        <f>IF(AC132=15,I132,0)</f>
        <v>0</v>
      </c>
      <c r="AA132" s="17">
        <f>IF(AC132=21,I132,0)</f>
        <v>0</v>
      </c>
      <c r="AC132" s="34">
        <v>21</v>
      </c>
      <c r="AD132" s="34">
        <f>F132*0.0177989130434783</f>
        <v>0</v>
      </c>
      <c r="AE132" s="34">
        <f>F132*(1-0.0177989130434783)</f>
        <v>0</v>
      </c>
    </row>
    <row r="133" spans="1:36">
      <c r="C133" s="71" t="s">
        <v>209</v>
      </c>
      <c r="D133" s="72"/>
      <c r="E133" s="73">
        <v>424</v>
      </c>
      <c r="F133" s="72"/>
    </row>
    <row r="134" spans="1:36">
      <c r="A134" s="6"/>
      <c r="B134" s="13" t="s">
        <v>88</v>
      </c>
      <c r="C134" s="153" t="s">
        <v>210</v>
      </c>
      <c r="D134" s="154"/>
      <c r="E134" s="154"/>
      <c r="F134" s="154"/>
      <c r="G134" s="36">
        <f>SUM(G135:G142)</f>
        <v>0</v>
      </c>
      <c r="H134" s="36">
        <f>SUM(H135:H142)</f>
        <v>0</v>
      </c>
      <c r="I134" s="36">
        <f>G134+H134</f>
        <v>0</v>
      </c>
      <c r="J134" s="26"/>
      <c r="K134" s="36">
        <f>SUM(K135:K142)</f>
        <v>18.042590000000001</v>
      </c>
      <c r="L134" s="26"/>
      <c r="O134" s="36">
        <f>IF(P134="PR",I134,SUM(N135:N142))</f>
        <v>0</v>
      </c>
      <c r="P134" s="26" t="s">
        <v>263</v>
      </c>
      <c r="Q134" s="36">
        <f>IF(P134="HS",G134,0)</f>
        <v>0</v>
      </c>
      <c r="R134" s="36">
        <f>IF(P134="HS",H134-O134,0)</f>
        <v>0</v>
      </c>
      <c r="S134" s="36">
        <f>IF(P134="PS",G134,0)</f>
        <v>0</v>
      </c>
      <c r="T134" s="36">
        <f>IF(P134="PS",H134-O134,0)</f>
        <v>0</v>
      </c>
      <c r="U134" s="36">
        <f>IF(P134="MP",G134,0)</f>
        <v>0</v>
      </c>
      <c r="V134" s="36">
        <f>IF(P134="MP",H134-O134,0)</f>
        <v>0</v>
      </c>
      <c r="W134" s="36">
        <f>IF(P134="OM",G134,0)</f>
        <v>0</v>
      </c>
      <c r="X134" s="26"/>
      <c r="AH134" s="36">
        <f>SUM(Y135:Y142)</f>
        <v>0</v>
      </c>
      <c r="AI134" s="36">
        <f>SUM(Z135:Z142)</f>
        <v>0</v>
      </c>
      <c r="AJ134" s="36">
        <f>SUM(AA135:AA142)</f>
        <v>0</v>
      </c>
    </row>
    <row r="135" spans="1:36" ht="25.5">
      <c r="A135" s="4" t="s">
        <v>35</v>
      </c>
      <c r="B135" s="4" t="s">
        <v>89</v>
      </c>
      <c r="C135" s="69" t="s">
        <v>211</v>
      </c>
      <c r="D135" s="69" t="s">
        <v>235</v>
      </c>
      <c r="E135" s="70">
        <v>949.61</v>
      </c>
      <c r="F135" s="70">
        <v>0</v>
      </c>
      <c r="G135" s="17">
        <f>ROUND(E135*AD135,2)</f>
        <v>0</v>
      </c>
      <c r="H135" s="17">
        <f>I135-G135</f>
        <v>0</v>
      </c>
      <c r="I135" s="17">
        <f>ROUND(E135*F135,2)</f>
        <v>0</v>
      </c>
      <c r="J135" s="17">
        <v>1.9E-2</v>
      </c>
      <c r="K135" s="17">
        <f>E135*J135</f>
        <v>18.042590000000001</v>
      </c>
      <c r="L135" s="29" t="s">
        <v>259</v>
      </c>
      <c r="M135" s="29" t="s">
        <v>6</v>
      </c>
      <c r="N135" s="17">
        <f>IF(M135="5",H135,0)</f>
        <v>0</v>
      </c>
      <c r="Y135" s="17">
        <f>IF(AC135=0,I135,0)</f>
        <v>0</v>
      </c>
      <c r="Z135" s="17">
        <f>IF(AC135=15,I135,0)</f>
        <v>0</v>
      </c>
      <c r="AA135" s="17">
        <f>IF(AC135=21,I135,0)</f>
        <v>0</v>
      </c>
      <c r="AC135" s="34">
        <v>21</v>
      </c>
      <c r="AD135" s="34">
        <f>F135*0.126199978427354</f>
        <v>0</v>
      </c>
      <c r="AE135" s="34">
        <f>F135*(1-0.126199978427354)</f>
        <v>0</v>
      </c>
    </row>
    <row r="136" spans="1:36" ht="25.5">
      <c r="C136" s="71" t="s">
        <v>122</v>
      </c>
      <c r="D136" s="72"/>
      <c r="E136" s="73">
        <v>140.59</v>
      </c>
      <c r="F136" s="72"/>
    </row>
    <row r="137" spans="1:36" ht="38.25">
      <c r="C137" s="71" t="s">
        <v>382</v>
      </c>
      <c r="D137" s="72"/>
      <c r="E137" s="73">
        <v>200.83</v>
      </c>
      <c r="F137" s="72"/>
    </row>
    <row r="138" spans="1:36" ht="25.5">
      <c r="C138" s="71" t="s">
        <v>123</v>
      </c>
      <c r="D138" s="72"/>
      <c r="E138" s="73">
        <v>424.16</v>
      </c>
      <c r="F138" s="72"/>
    </row>
    <row r="139" spans="1:36" ht="25.5">
      <c r="C139" s="71" t="s">
        <v>124</v>
      </c>
      <c r="D139" s="72"/>
      <c r="E139" s="73">
        <v>27.4</v>
      </c>
      <c r="F139" s="72"/>
    </row>
    <row r="140" spans="1:36" ht="25.5">
      <c r="C140" s="71" t="s">
        <v>125</v>
      </c>
      <c r="D140" s="72"/>
      <c r="E140" s="73">
        <v>143.59</v>
      </c>
      <c r="F140" s="72"/>
    </row>
    <row r="141" spans="1:36">
      <c r="C141" s="71" t="s">
        <v>126</v>
      </c>
      <c r="D141" s="72"/>
      <c r="E141" s="73">
        <v>13.04</v>
      </c>
      <c r="F141" s="72"/>
    </row>
    <row r="142" spans="1:36">
      <c r="A142" s="4" t="s">
        <v>36</v>
      </c>
      <c r="B142" s="4" t="s">
        <v>90</v>
      </c>
      <c r="C142" s="69" t="s">
        <v>212</v>
      </c>
      <c r="D142" s="69" t="s">
        <v>236</v>
      </c>
      <c r="E142" s="70">
        <v>195.86</v>
      </c>
      <c r="F142" s="70">
        <v>0</v>
      </c>
      <c r="G142" s="17">
        <f>ROUND(E142*AD142,2)</f>
        <v>0</v>
      </c>
      <c r="H142" s="17">
        <f>I142-G142</f>
        <v>0</v>
      </c>
      <c r="I142" s="17">
        <f>ROUND(E142*F142,2)</f>
        <v>0</v>
      </c>
      <c r="J142" s="17">
        <v>0</v>
      </c>
      <c r="K142" s="17">
        <f>E142*J142</f>
        <v>0</v>
      </c>
      <c r="L142" s="29" t="s">
        <v>259</v>
      </c>
      <c r="M142" s="29" t="s">
        <v>6</v>
      </c>
      <c r="N142" s="17">
        <f>IF(M142="5",H142,0)</f>
        <v>0</v>
      </c>
      <c r="Y142" s="17">
        <f>IF(AC142=0,I142,0)</f>
        <v>0</v>
      </c>
      <c r="Z142" s="17">
        <f>IF(AC142=15,I142,0)</f>
        <v>0</v>
      </c>
      <c r="AA142" s="17">
        <f>IF(AC142=21,I142,0)</f>
        <v>0</v>
      </c>
      <c r="AC142" s="34">
        <v>21</v>
      </c>
      <c r="AD142" s="34">
        <f>F142*0</f>
        <v>0</v>
      </c>
      <c r="AE142" s="34">
        <f>F142*(1-0)</f>
        <v>0</v>
      </c>
    </row>
    <row r="143" spans="1:36">
      <c r="C143" s="71" t="s">
        <v>135</v>
      </c>
      <c r="D143" s="72"/>
      <c r="E143" s="73">
        <v>37.86</v>
      </c>
      <c r="F143" s="72"/>
    </row>
    <row r="144" spans="1:36">
      <c r="C144" s="71" t="s">
        <v>172</v>
      </c>
      <c r="D144" s="72"/>
      <c r="E144" s="73">
        <v>7</v>
      </c>
      <c r="F144" s="72"/>
    </row>
    <row r="145" spans="1:36">
      <c r="C145" s="71" t="s">
        <v>173</v>
      </c>
      <c r="D145" s="72"/>
      <c r="E145" s="73">
        <v>141</v>
      </c>
      <c r="F145" s="72"/>
    </row>
    <row r="146" spans="1:36">
      <c r="C146" s="71" t="s">
        <v>138</v>
      </c>
      <c r="D146" s="72"/>
      <c r="E146" s="73">
        <v>10</v>
      </c>
      <c r="F146" s="72"/>
    </row>
    <row r="147" spans="1:36">
      <c r="A147" s="6"/>
      <c r="B147" s="13" t="s">
        <v>91</v>
      </c>
      <c r="C147" s="153" t="s">
        <v>213</v>
      </c>
      <c r="D147" s="154"/>
      <c r="E147" s="154"/>
      <c r="F147" s="154"/>
      <c r="G147" s="36">
        <f>SUM(G148:G148)</f>
        <v>0</v>
      </c>
      <c r="H147" s="36">
        <f>SUM(H148:H148)</f>
        <v>0</v>
      </c>
      <c r="I147" s="36">
        <f>G147+H147</f>
        <v>0</v>
      </c>
      <c r="J147" s="26"/>
      <c r="K147" s="36">
        <f>SUM(K148:K148)</f>
        <v>0</v>
      </c>
      <c r="L147" s="26"/>
      <c r="O147" s="36">
        <f>IF(P147="PR",I147,SUM(N148:N148))</f>
        <v>0</v>
      </c>
      <c r="P147" s="26" t="s">
        <v>265</v>
      </c>
      <c r="Q147" s="36">
        <f>IF(P147="HS",G147,0)</f>
        <v>0</v>
      </c>
      <c r="R147" s="36">
        <f>IF(P147="HS",H147-O147,0)</f>
        <v>0</v>
      </c>
      <c r="S147" s="36">
        <f>IF(P147="PS",G147,0)</f>
        <v>0</v>
      </c>
      <c r="T147" s="36">
        <f>IF(P147="PS",H147-O147,0)</f>
        <v>0</v>
      </c>
      <c r="U147" s="36">
        <f>IF(P147="MP",G147,0)</f>
        <v>0</v>
      </c>
      <c r="V147" s="36">
        <f>IF(P147="MP",H147-O147,0)</f>
        <v>0</v>
      </c>
      <c r="W147" s="36">
        <f>IF(P147="OM",G147,0)</f>
        <v>0</v>
      </c>
      <c r="X147" s="26"/>
      <c r="AH147" s="36">
        <f>SUM(Y148:Y148)</f>
        <v>0</v>
      </c>
      <c r="AI147" s="36">
        <f>SUM(Z148:Z148)</f>
        <v>0</v>
      </c>
      <c r="AJ147" s="36">
        <f>SUM(AA148:AA148)</f>
        <v>0</v>
      </c>
    </row>
    <row r="148" spans="1:36">
      <c r="A148" s="4" t="s">
        <v>37</v>
      </c>
      <c r="B148" s="4" t="s">
        <v>92</v>
      </c>
      <c r="C148" s="69" t="s">
        <v>214</v>
      </c>
      <c r="D148" s="69" t="s">
        <v>237</v>
      </c>
      <c r="E148" s="70">
        <v>1</v>
      </c>
      <c r="F148" s="70">
        <v>0</v>
      </c>
      <c r="G148" s="17">
        <f>ROUND(E148*AD148,2)</f>
        <v>0</v>
      </c>
      <c r="H148" s="17">
        <f>I148-G148</f>
        <v>0</v>
      </c>
      <c r="I148" s="17">
        <f>ROUND(E148*F148,2)</f>
        <v>0</v>
      </c>
      <c r="J148" s="17">
        <v>0</v>
      </c>
      <c r="K148" s="17">
        <f>E148*J148</f>
        <v>0</v>
      </c>
      <c r="L148" s="29" t="s">
        <v>259</v>
      </c>
      <c r="M148" s="29" t="s">
        <v>10</v>
      </c>
      <c r="N148" s="17">
        <f>IF(M148="5",H148,0)</f>
        <v>0</v>
      </c>
      <c r="Y148" s="17">
        <f>IF(AC148=0,I148,0)</f>
        <v>0</v>
      </c>
      <c r="Z148" s="17">
        <f>IF(AC148=15,I148,0)</f>
        <v>0</v>
      </c>
      <c r="AA148" s="17">
        <f>IF(AC148=21,I148,0)</f>
        <v>0</v>
      </c>
      <c r="AC148" s="34">
        <v>21</v>
      </c>
      <c r="AD148" s="34">
        <f>F148*0</f>
        <v>0</v>
      </c>
      <c r="AE148" s="34">
        <f>F148*(1-0)</f>
        <v>0</v>
      </c>
    </row>
    <row r="149" spans="1:36">
      <c r="A149" s="6"/>
      <c r="B149" s="13" t="s">
        <v>93</v>
      </c>
      <c r="C149" s="153" t="s">
        <v>215</v>
      </c>
      <c r="D149" s="154"/>
      <c r="E149" s="154"/>
      <c r="F149" s="154"/>
      <c r="G149" s="36">
        <f>SUM(G150:G158)</f>
        <v>0</v>
      </c>
      <c r="H149" s="36">
        <f>SUM(H150:H158)</f>
        <v>0</v>
      </c>
      <c r="I149" s="36">
        <f>G149+H149</f>
        <v>0</v>
      </c>
      <c r="J149" s="26"/>
      <c r="K149" s="36">
        <f>SUM(K150:K158)</f>
        <v>8.8400000000000006E-3</v>
      </c>
      <c r="L149" s="26"/>
      <c r="O149" s="36">
        <f>IF(P149="PR",I149,SUM(N150:N158))</f>
        <v>0</v>
      </c>
      <c r="P149" s="26" t="s">
        <v>266</v>
      </c>
      <c r="Q149" s="36">
        <f>IF(P149="HS",G149,0)</f>
        <v>0</v>
      </c>
      <c r="R149" s="36">
        <f>IF(P149="HS",H149-O149,0)</f>
        <v>0</v>
      </c>
      <c r="S149" s="36">
        <f>IF(P149="PS",G149,0)</f>
        <v>0</v>
      </c>
      <c r="T149" s="36">
        <f>IF(P149="PS",H149-O149,0)</f>
        <v>0</v>
      </c>
      <c r="U149" s="36">
        <f>IF(P149="MP",G149,0)</f>
        <v>0</v>
      </c>
      <c r="V149" s="36">
        <f>IF(P149="MP",H149-O149,0)</f>
        <v>0</v>
      </c>
      <c r="W149" s="36">
        <f>IF(P149="OM",G149,0)</f>
        <v>0</v>
      </c>
      <c r="X149" s="26"/>
      <c r="AH149" s="36">
        <f>SUM(Y150:Y158)</f>
        <v>0</v>
      </c>
      <c r="AI149" s="36">
        <f>SUM(Z150:Z158)</f>
        <v>0</v>
      </c>
      <c r="AJ149" s="36">
        <f>SUM(AA150:AA158)</f>
        <v>0</v>
      </c>
    </row>
    <row r="150" spans="1:36" ht="25.5">
      <c r="A150" s="5" t="s">
        <v>38</v>
      </c>
      <c r="B150" s="5" t="s">
        <v>94</v>
      </c>
      <c r="C150" s="74" t="s">
        <v>387</v>
      </c>
      <c r="D150" s="74" t="s">
        <v>240</v>
      </c>
      <c r="E150" s="75">
        <v>1</v>
      </c>
      <c r="F150" s="75">
        <v>0</v>
      </c>
      <c r="G150" s="18">
        <f>ROUND(E150*AD150,2)</f>
        <v>0</v>
      </c>
      <c r="H150" s="18">
        <f>I150-G150</f>
        <v>0</v>
      </c>
      <c r="I150" s="18">
        <f>ROUND(E150*F150,2)</f>
        <v>0</v>
      </c>
      <c r="J150" s="18">
        <v>2.0000000000000002E-5</v>
      </c>
      <c r="K150" s="18">
        <f>E150*J150</f>
        <v>2.0000000000000002E-5</v>
      </c>
      <c r="L150" s="30"/>
      <c r="M150" s="30" t="s">
        <v>260</v>
      </c>
      <c r="N150" s="18">
        <f>IF(M150="5",H150,0)</f>
        <v>0</v>
      </c>
      <c r="Y150" s="18">
        <f>IF(AC150=0,I150,0)</f>
        <v>0</v>
      </c>
      <c r="Z150" s="18">
        <f>IF(AC150=15,I150,0)</f>
        <v>0</v>
      </c>
      <c r="AA150" s="18">
        <f>IF(AC150=21,I150,0)</f>
        <v>0</v>
      </c>
      <c r="AC150" s="34">
        <v>21</v>
      </c>
      <c r="AD150" s="34">
        <f>F150*1</f>
        <v>0</v>
      </c>
      <c r="AE150" s="34">
        <f>F150*(1-1)</f>
        <v>0</v>
      </c>
    </row>
    <row r="151" spans="1:36">
      <c r="A151" s="5" t="s">
        <v>39</v>
      </c>
      <c r="B151" s="5" t="s">
        <v>95</v>
      </c>
      <c r="C151" s="74" t="s">
        <v>216</v>
      </c>
      <c r="D151" s="74" t="s">
        <v>240</v>
      </c>
      <c r="E151" s="75">
        <v>14</v>
      </c>
      <c r="F151" s="75">
        <v>0</v>
      </c>
      <c r="G151" s="18">
        <f>ROUND(E151*AD151,2)</f>
        <v>0</v>
      </c>
      <c r="H151" s="18">
        <f>I151-G151</f>
        <v>0</v>
      </c>
      <c r="I151" s="18">
        <f>ROUND(E151*F151,2)</f>
        <v>0</v>
      </c>
      <c r="J151" s="18">
        <v>1.0000000000000001E-5</v>
      </c>
      <c r="K151" s="18">
        <f>E151*J151</f>
        <v>1.4000000000000001E-4</v>
      </c>
      <c r="L151" s="30"/>
      <c r="M151" s="30" t="s">
        <v>260</v>
      </c>
      <c r="N151" s="18">
        <f>IF(M151="5",H151,0)</f>
        <v>0</v>
      </c>
      <c r="Y151" s="18">
        <f>IF(AC151=0,I151,0)</f>
        <v>0</v>
      </c>
      <c r="Z151" s="18">
        <f>IF(AC151=15,I151,0)</f>
        <v>0</v>
      </c>
      <c r="AA151" s="18">
        <f>IF(AC151=21,I151,0)</f>
        <v>0</v>
      </c>
      <c r="AC151" s="34">
        <v>21</v>
      </c>
      <c r="AD151" s="34">
        <f>F151*1</f>
        <v>0</v>
      </c>
      <c r="AE151" s="34">
        <f>F151*(1-1)</f>
        <v>0</v>
      </c>
    </row>
    <row r="152" spans="1:36">
      <c r="C152" s="71" t="s">
        <v>217</v>
      </c>
      <c r="D152" s="72"/>
      <c r="E152" s="73">
        <v>14</v>
      </c>
      <c r="F152" s="72"/>
    </row>
    <row r="153" spans="1:36">
      <c r="A153" s="5" t="s">
        <v>40</v>
      </c>
      <c r="B153" s="5" t="s">
        <v>96</v>
      </c>
      <c r="C153" s="74" t="s">
        <v>218</v>
      </c>
      <c r="D153" s="74" t="s">
        <v>240</v>
      </c>
      <c r="E153" s="75">
        <v>14</v>
      </c>
      <c r="F153" s="75">
        <v>0</v>
      </c>
      <c r="G153" s="18">
        <f>ROUND(E153*AD153,2)</f>
        <v>0</v>
      </c>
      <c r="H153" s="18">
        <f>I153-G153</f>
        <v>0</v>
      </c>
      <c r="I153" s="18">
        <f>ROUND(E153*F153,2)</f>
        <v>0</v>
      </c>
      <c r="J153" s="18">
        <v>2.0000000000000002E-5</v>
      </c>
      <c r="K153" s="18">
        <f>E153*J153</f>
        <v>2.8000000000000003E-4</v>
      </c>
      <c r="L153" s="30"/>
      <c r="M153" s="30" t="s">
        <v>260</v>
      </c>
      <c r="N153" s="18">
        <f>IF(M153="5",H153,0)</f>
        <v>0</v>
      </c>
      <c r="Y153" s="18">
        <f>IF(AC153=0,I153,0)</f>
        <v>0</v>
      </c>
      <c r="Z153" s="18">
        <f>IF(AC153=15,I153,0)</f>
        <v>0</v>
      </c>
      <c r="AA153" s="18">
        <f>IF(AC153=21,I153,0)</f>
        <v>0</v>
      </c>
      <c r="AC153" s="34">
        <v>21</v>
      </c>
      <c r="AD153" s="34">
        <f>F153*1</f>
        <v>0</v>
      </c>
      <c r="AE153" s="34">
        <f>F153*(1-1)</f>
        <v>0</v>
      </c>
    </row>
    <row r="154" spans="1:36">
      <c r="C154" s="71" t="s">
        <v>217</v>
      </c>
      <c r="D154" s="72"/>
      <c r="E154" s="73">
        <v>14</v>
      </c>
      <c r="F154" s="72"/>
    </row>
    <row r="155" spans="1:36">
      <c r="A155" s="5" t="s">
        <v>41</v>
      </c>
      <c r="B155" s="5" t="s">
        <v>97</v>
      </c>
      <c r="C155" s="74" t="s">
        <v>219</v>
      </c>
      <c r="D155" s="74" t="s">
        <v>236</v>
      </c>
      <c r="E155" s="75">
        <v>840</v>
      </c>
      <c r="F155" s="75">
        <v>0</v>
      </c>
      <c r="G155" s="18">
        <f>ROUND(E155*AD155,2)</f>
        <v>0</v>
      </c>
      <c r="H155" s="18">
        <f>I155-G155</f>
        <v>0</v>
      </c>
      <c r="I155" s="18">
        <f>ROUND(E155*F155,2)</f>
        <v>0</v>
      </c>
      <c r="J155" s="18">
        <v>1.0000000000000001E-5</v>
      </c>
      <c r="K155" s="18">
        <f>E155*J155</f>
        <v>8.4000000000000012E-3</v>
      </c>
      <c r="L155" s="30"/>
      <c r="M155" s="30" t="s">
        <v>260</v>
      </c>
      <c r="N155" s="18">
        <f>IF(M155="5",H155,0)</f>
        <v>0</v>
      </c>
      <c r="Y155" s="18">
        <f>IF(AC155=0,I155,0)</f>
        <v>0</v>
      </c>
      <c r="Z155" s="18">
        <f>IF(AC155=15,I155,0)</f>
        <v>0</v>
      </c>
      <c r="AA155" s="18">
        <f>IF(AC155=21,I155,0)</f>
        <v>0</v>
      </c>
      <c r="AC155" s="34">
        <v>21</v>
      </c>
      <c r="AD155" s="34">
        <f>F155*1</f>
        <v>0</v>
      </c>
      <c r="AE155" s="34">
        <f>F155*(1-1)</f>
        <v>0</v>
      </c>
    </row>
    <row r="156" spans="1:36">
      <c r="C156" s="71" t="s">
        <v>220</v>
      </c>
      <c r="D156" s="72"/>
      <c r="E156" s="73">
        <v>840</v>
      </c>
      <c r="F156" s="72"/>
    </row>
    <row r="157" spans="1:36" ht="25.5">
      <c r="A157" s="4" t="s">
        <v>42</v>
      </c>
      <c r="B157" s="4" t="s">
        <v>98</v>
      </c>
      <c r="C157" s="69" t="s">
        <v>221</v>
      </c>
      <c r="D157" s="69" t="s">
        <v>241</v>
      </c>
      <c r="E157" s="70">
        <v>12</v>
      </c>
      <c r="F157" s="70">
        <v>0</v>
      </c>
      <c r="G157" s="17">
        <f>ROUND(E157*AD157,2)</f>
        <v>0</v>
      </c>
      <c r="H157" s="17">
        <f>I157-G157</f>
        <v>0</v>
      </c>
      <c r="I157" s="17">
        <f>ROUND(E157*F157,2)</f>
        <v>0</v>
      </c>
      <c r="J157" s="17">
        <v>0</v>
      </c>
      <c r="K157" s="17">
        <f>E157*J157</f>
        <v>0</v>
      </c>
      <c r="L157" s="29" t="s">
        <v>259</v>
      </c>
      <c r="M157" s="29" t="s">
        <v>6</v>
      </c>
      <c r="N157" s="17">
        <f>IF(M157="5",H157,0)</f>
        <v>0</v>
      </c>
      <c r="Y157" s="17">
        <f>IF(AC157=0,I157,0)</f>
        <v>0</v>
      </c>
      <c r="Z157" s="17">
        <f>IF(AC157=15,I157,0)</f>
        <v>0</v>
      </c>
      <c r="AA157" s="17">
        <f>IF(AC157=21,I157,0)</f>
        <v>0</v>
      </c>
      <c r="AC157" s="34">
        <v>21</v>
      </c>
      <c r="AD157" s="34">
        <f>F157*0</f>
        <v>0</v>
      </c>
      <c r="AE157" s="34">
        <f>F157*(1-0)</f>
        <v>0</v>
      </c>
    </row>
    <row r="158" spans="1:36">
      <c r="A158" s="4" t="s">
        <v>43</v>
      </c>
      <c r="B158" s="4" t="s">
        <v>99</v>
      </c>
      <c r="C158" s="69" t="s">
        <v>222</v>
      </c>
      <c r="D158" s="69" t="s">
        <v>241</v>
      </c>
      <c r="E158" s="70">
        <v>12</v>
      </c>
      <c r="F158" s="70">
        <v>0</v>
      </c>
      <c r="G158" s="17">
        <f>ROUND(E158*AD158,2)</f>
        <v>0</v>
      </c>
      <c r="H158" s="17">
        <f>I158-G158</f>
        <v>0</v>
      </c>
      <c r="I158" s="17">
        <f>ROUND(E158*F158,2)</f>
        <v>0</v>
      </c>
      <c r="J158" s="17">
        <v>0</v>
      </c>
      <c r="K158" s="17">
        <f>E158*J158</f>
        <v>0</v>
      </c>
      <c r="L158" s="29" t="s">
        <v>259</v>
      </c>
      <c r="M158" s="29" t="s">
        <v>6</v>
      </c>
      <c r="N158" s="17">
        <f>IF(M158="5",H158,0)</f>
        <v>0</v>
      </c>
      <c r="Y158" s="17">
        <f>IF(AC158=0,I158,0)</f>
        <v>0</v>
      </c>
      <c r="Z158" s="17">
        <f>IF(AC158=15,I158,0)</f>
        <v>0</v>
      </c>
      <c r="AA158" s="17">
        <f>IF(AC158=21,I158,0)</f>
        <v>0</v>
      </c>
      <c r="AC158" s="34">
        <v>21</v>
      </c>
      <c r="AD158" s="34">
        <f>F158*0</f>
        <v>0</v>
      </c>
      <c r="AE158" s="34">
        <f>F158*(1-0)</f>
        <v>0</v>
      </c>
    </row>
    <row r="159" spans="1:36">
      <c r="C159" s="71" t="s">
        <v>223</v>
      </c>
      <c r="D159" s="72"/>
      <c r="E159" s="73">
        <v>12</v>
      </c>
      <c r="F159" s="72"/>
    </row>
    <row r="160" spans="1:36">
      <c r="A160" s="6"/>
      <c r="B160" s="13" t="s">
        <v>100</v>
      </c>
      <c r="C160" s="153" t="s">
        <v>224</v>
      </c>
      <c r="D160" s="154"/>
      <c r="E160" s="154"/>
      <c r="F160" s="154"/>
      <c r="G160" s="36">
        <f>SUM(G161:G165)</f>
        <v>0</v>
      </c>
      <c r="H160" s="36">
        <f>SUM(H161:H165)</f>
        <v>0</v>
      </c>
      <c r="I160" s="36">
        <f>G160+H160</f>
        <v>0</v>
      </c>
      <c r="J160" s="26"/>
      <c r="K160" s="36">
        <f>SUM(K161:K165)</f>
        <v>0</v>
      </c>
      <c r="L160" s="26"/>
      <c r="O160" s="36">
        <f>IF(P160="PR",I160,SUM(N161:N165))</f>
        <v>0</v>
      </c>
      <c r="P160" s="26" t="s">
        <v>265</v>
      </c>
      <c r="Q160" s="36">
        <f>IF(P160="HS",G160,0)</f>
        <v>0</v>
      </c>
      <c r="R160" s="36">
        <f>IF(P160="HS",H160-O160,0)</f>
        <v>0</v>
      </c>
      <c r="S160" s="36">
        <f>IF(P160="PS",G160,0)</f>
        <v>0</v>
      </c>
      <c r="T160" s="36">
        <f>IF(P160="PS",H160-O160,0)</f>
        <v>0</v>
      </c>
      <c r="U160" s="36">
        <f>IF(P160="MP",G160,0)</f>
        <v>0</v>
      </c>
      <c r="V160" s="36">
        <f>IF(P160="MP",H160-O160,0)</f>
        <v>0</v>
      </c>
      <c r="W160" s="36">
        <f>IF(P160="OM",G160,0)</f>
        <v>0</v>
      </c>
      <c r="X160" s="26"/>
      <c r="AH160" s="36">
        <f>SUM(Y161:Y165)</f>
        <v>0</v>
      </c>
      <c r="AI160" s="36">
        <f>SUM(Z161:Z165)</f>
        <v>0</v>
      </c>
      <c r="AJ160" s="36">
        <f>SUM(AA161:AA165)</f>
        <v>0</v>
      </c>
    </row>
    <row r="161" spans="1:31">
      <c r="A161" s="4" t="s">
        <v>44</v>
      </c>
      <c r="B161" s="4" t="s">
        <v>101</v>
      </c>
      <c r="C161" s="69" t="s">
        <v>225</v>
      </c>
      <c r="D161" s="69" t="s">
        <v>237</v>
      </c>
      <c r="E161" s="70">
        <v>19.431100000000001</v>
      </c>
      <c r="F161" s="70">
        <v>0</v>
      </c>
      <c r="G161" s="17">
        <f>ROUND(E161*AD161,2)</f>
        <v>0</v>
      </c>
      <c r="H161" s="17">
        <f>I161-G161</f>
        <v>0</v>
      </c>
      <c r="I161" s="17">
        <f>ROUND(E161*F161,2)</f>
        <v>0</v>
      </c>
      <c r="J161" s="17">
        <v>0</v>
      </c>
      <c r="K161" s="17">
        <f>E161*J161</f>
        <v>0</v>
      </c>
      <c r="L161" s="29" t="s">
        <v>259</v>
      </c>
      <c r="M161" s="29" t="s">
        <v>10</v>
      </c>
      <c r="N161" s="17">
        <f>IF(M161="5",H161,0)</f>
        <v>0</v>
      </c>
      <c r="Y161" s="17">
        <f>IF(AC161=0,I161,0)</f>
        <v>0</v>
      </c>
      <c r="Z161" s="17">
        <f>IF(AC161=15,I161,0)</f>
        <v>0</v>
      </c>
      <c r="AA161" s="17">
        <f>IF(AC161=21,I161,0)</f>
        <v>0</v>
      </c>
      <c r="AC161" s="34">
        <v>21</v>
      </c>
      <c r="AD161" s="34">
        <f>F161*0</f>
        <v>0</v>
      </c>
      <c r="AE161" s="34">
        <f>F161*(1-0)</f>
        <v>0</v>
      </c>
    </row>
    <row r="162" spans="1:31">
      <c r="A162" s="4" t="s">
        <v>45</v>
      </c>
      <c r="B162" s="4" t="s">
        <v>102</v>
      </c>
      <c r="C162" s="69" t="s">
        <v>226</v>
      </c>
      <c r="D162" s="69" t="s">
        <v>237</v>
      </c>
      <c r="E162" s="70">
        <v>19.431100000000001</v>
      </c>
      <c r="F162" s="70">
        <v>0</v>
      </c>
      <c r="G162" s="17">
        <f>ROUND(E162*AD162,2)</f>
        <v>0</v>
      </c>
      <c r="H162" s="17">
        <f>I162-G162</f>
        <v>0</v>
      </c>
      <c r="I162" s="17">
        <f>ROUND(E162*F162,2)</f>
        <v>0</v>
      </c>
      <c r="J162" s="17">
        <v>0</v>
      </c>
      <c r="K162" s="17">
        <f>E162*J162</f>
        <v>0</v>
      </c>
      <c r="L162" s="29" t="s">
        <v>259</v>
      </c>
      <c r="M162" s="29" t="s">
        <v>10</v>
      </c>
      <c r="N162" s="17">
        <f>IF(M162="5",H162,0)</f>
        <v>0</v>
      </c>
      <c r="Y162" s="17">
        <f>IF(AC162=0,I162,0)</f>
        <v>0</v>
      </c>
      <c r="Z162" s="17">
        <f>IF(AC162=15,I162,0)</f>
        <v>0</v>
      </c>
      <c r="AA162" s="17">
        <f>IF(AC162=21,I162,0)</f>
        <v>0</v>
      </c>
      <c r="AC162" s="34">
        <v>21</v>
      </c>
      <c r="AD162" s="34">
        <f>F162*0.00942152480787164</f>
        <v>0</v>
      </c>
      <c r="AE162" s="34">
        <f>F162*(1-0.00942152480787164)</f>
        <v>0</v>
      </c>
    </row>
    <row r="163" spans="1:31">
      <c r="A163" s="4" t="s">
        <v>46</v>
      </c>
      <c r="B163" s="4" t="s">
        <v>103</v>
      </c>
      <c r="C163" s="69" t="s">
        <v>227</v>
      </c>
      <c r="D163" s="69" t="s">
        <v>237</v>
      </c>
      <c r="E163" s="70">
        <v>19.431100000000001</v>
      </c>
      <c r="F163" s="70">
        <v>0</v>
      </c>
      <c r="G163" s="17">
        <f>ROUND(E163*AD163,2)</f>
        <v>0</v>
      </c>
      <c r="H163" s="17">
        <f>I163-G163</f>
        <v>0</v>
      </c>
      <c r="I163" s="17">
        <f>ROUND(E163*F163,2)</f>
        <v>0</v>
      </c>
      <c r="J163" s="17">
        <v>0</v>
      </c>
      <c r="K163" s="17">
        <f>E163*J163</f>
        <v>0</v>
      </c>
      <c r="L163" s="29" t="s">
        <v>259</v>
      </c>
      <c r="M163" s="29" t="s">
        <v>10</v>
      </c>
      <c r="N163" s="17">
        <f>IF(M163="5",H163,0)</f>
        <v>0</v>
      </c>
      <c r="Y163" s="17">
        <f>IF(AC163=0,I163,0)</f>
        <v>0</v>
      </c>
      <c r="Z163" s="17">
        <f>IF(AC163=15,I163,0)</f>
        <v>0</v>
      </c>
      <c r="AA163" s="17">
        <f>IF(AC163=21,I163,0)</f>
        <v>0</v>
      </c>
      <c r="AC163" s="34">
        <v>21</v>
      </c>
      <c r="AD163" s="34">
        <f>F163*0</f>
        <v>0</v>
      </c>
      <c r="AE163" s="34">
        <f>F163*(1-0)</f>
        <v>0</v>
      </c>
    </row>
    <row r="164" spans="1:31">
      <c r="A164" s="4" t="s">
        <v>47</v>
      </c>
      <c r="B164" s="4" t="s">
        <v>104</v>
      </c>
      <c r="C164" s="69" t="s">
        <v>228</v>
      </c>
      <c r="D164" s="69" t="s">
        <v>237</v>
      </c>
      <c r="E164" s="70">
        <v>19.431100000000001</v>
      </c>
      <c r="F164" s="70">
        <v>0</v>
      </c>
      <c r="G164" s="17">
        <f>ROUND(E164*AD164,2)</f>
        <v>0</v>
      </c>
      <c r="H164" s="17">
        <f>I164-G164</f>
        <v>0</v>
      </c>
      <c r="I164" s="17">
        <f>ROUND(E164*F164,2)</f>
        <v>0</v>
      </c>
      <c r="J164" s="17">
        <v>0</v>
      </c>
      <c r="K164" s="17">
        <f>E164*J164</f>
        <v>0</v>
      </c>
      <c r="L164" s="29" t="s">
        <v>259</v>
      </c>
      <c r="M164" s="29" t="s">
        <v>10</v>
      </c>
      <c r="N164" s="17">
        <f>IF(M164="5",H164,0)</f>
        <v>0</v>
      </c>
      <c r="Y164" s="17">
        <f>IF(AC164=0,I164,0)</f>
        <v>0</v>
      </c>
      <c r="Z164" s="17">
        <f>IF(AC164=15,I164,0)</f>
        <v>0</v>
      </c>
      <c r="AA164" s="17">
        <f>IF(AC164=21,I164,0)</f>
        <v>0</v>
      </c>
      <c r="AC164" s="34">
        <v>21</v>
      </c>
      <c r="AD164" s="34">
        <f>F164*0</f>
        <v>0</v>
      </c>
      <c r="AE164" s="34">
        <f>F164*(1-0)</f>
        <v>0</v>
      </c>
    </row>
    <row r="165" spans="1:31" ht="25.5">
      <c r="A165" s="7" t="s">
        <v>48</v>
      </c>
      <c r="B165" s="7" t="s">
        <v>105</v>
      </c>
      <c r="C165" s="76" t="s">
        <v>229</v>
      </c>
      <c r="D165" s="76" t="s">
        <v>239</v>
      </c>
      <c r="E165" s="77">
        <v>1</v>
      </c>
      <c r="F165" s="77">
        <v>0</v>
      </c>
      <c r="G165" s="19">
        <f>ROUND(E165*AD165,2)</f>
        <v>0</v>
      </c>
      <c r="H165" s="19">
        <f>I165-G165</f>
        <v>0</v>
      </c>
      <c r="I165" s="19">
        <f>ROUND(E165*F165,2)</f>
        <v>0</v>
      </c>
      <c r="J165" s="19">
        <v>0</v>
      </c>
      <c r="K165" s="19">
        <f>E165*J165</f>
        <v>0</v>
      </c>
      <c r="L165" s="31"/>
      <c r="M165" s="30" t="s">
        <v>260</v>
      </c>
      <c r="N165" s="18">
        <f>IF(M165="5",H165,0)</f>
        <v>0</v>
      </c>
      <c r="Y165" s="18">
        <f>IF(AC165=0,I165,0)</f>
        <v>0</v>
      </c>
      <c r="Z165" s="18">
        <f>IF(AC165=15,I165,0)</f>
        <v>0</v>
      </c>
      <c r="AA165" s="18">
        <f>IF(AC165=21,I165,0)</f>
        <v>0</v>
      </c>
      <c r="AC165" s="34">
        <v>21</v>
      </c>
      <c r="AD165" s="34">
        <f>F165*1</f>
        <v>0</v>
      </c>
      <c r="AE165" s="34">
        <f>F165*(1-1)</f>
        <v>0</v>
      </c>
    </row>
    <row r="166" spans="1:31">
      <c r="A166" s="8"/>
      <c r="B166" s="8"/>
      <c r="C166" s="8"/>
      <c r="D166" s="8"/>
      <c r="E166" s="8"/>
      <c r="F166" s="8"/>
      <c r="G166" s="155" t="s">
        <v>247</v>
      </c>
      <c r="H166" s="156"/>
      <c r="I166" s="37">
        <f>I12+I66+I84+I104+I111+I122+I128+I131+I134+I147+I149+I160</f>
        <v>0</v>
      </c>
      <c r="J166" s="8"/>
      <c r="K166" s="8"/>
      <c r="L166" s="8"/>
      <c r="Y166" s="38">
        <f>SUM(Y13:Y165)</f>
        <v>0</v>
      </c>
      <c r="Z166" s="38">
        <f>SUM(Z13:Z165)</f>
        <v>0</v>
      </c>
      <c r="AA166" s="38">
        <f>SUM(AA13:AA165)</f>
        <v>0</v>
      </c>
    </row>
    <row r="167" spans="1:31" ht="11.25" customHeight="1">
      <c r="A167" s="9" t="s">
        <v>49</v>
      </c>
    </row>
    <row r="168" spans="1:31" ht="409.6" hidden="1" customHeight="1">
      <c r="A168" s="129"/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</row>
  </sheetData>
  <mergeCells count="41">
    <mergeCell ref="G166:H166"/>
    <mergeCell ref="A168:L168"/>
    <mergeCell ref="C111:F111"/>
    <mergeCell ref="C122:F122"/>
    <mergeCell ref="C128:F128"/>
    <mergeCell ref="C131:F131"/>
    <mergeCell ref="C134:F134"/>
    <mergeCell ref="C147:F147"/>
    <mergeCell ref="C66:F66"/>
    <mergeCell ref="C84:F84"/>
    <mergeCell ref="C149:F149"/>
    <mergeCell ref="C104:F104"/>
    <mergeCell ref="C160:F160"/>
    <mergeCell ref="G10:I10"/>
    <mergeCell ref="H8:H9"/>
    <mergeCell ref="I8:L9"/>
    <mergeCell ref="J10:K10"/>
    <mergeCell ref="C12:F12"/>
    <mergeCell ref="D6:E7"/>
    <mergeCell ref="F6:G7"/>
    <mergeCell ref="H6:H7"/>
    <mergeCell ref="A8:B9"/>
    <mergeCell ref="C8:C9"/>
    <mergeCell ref="D8:E9"/>
    <mergeCell ref="F8:G9"/>
    <mergeCell ref="I6:L7"/>
    <mergeCell ref="I4:L5"/>
    <mergeCell ref="A1:L1"/>
    <mergeCell ref="A2:B3"/>
    <mergeCell ref="C2:C3"/>
    <mergeCell ref="D2:E3"/>
    <mergeCell ref="F2:G3"/>
    <mergeCell ref="H2:H3"/>
    <mergeCell ref="I2:L3"/>
    <mergeCell ref="A4:B5"/>
    <mergeCell ref="C4:C5"/>
    <mergeCell ref="D4:E5"/>
    <mergeCell ref="F4:G5"/>
    <mergeCell ref="H4:H5"/>
    <mergeCell ref="A6:B7"/>
    <mergeCell ref="C6:C7"/>
  </mergeCells>
  <pageMargins left="0.39400000000000002" right="0.39400000000000002" top="0.59099999999999997" bottom="0.59099999999999997" header="0.5" footer="0.5"/>
  <pageSetup paperSize="9" scale="88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workbookViewId="0">
      <selection activeCell="E31" sqref="E31"/>
    </sheetView>
  </sheetViews>
  <sheetFormatPr defaultColWidth="11.5703125" defaultRowHeight="12.75"/>
  <cols>
    <col min="1" max="1" width="12.28515625" customWidth="1"/>
    <col min="2" max="2" width="14.42578125" customWidth="1"/>
    <col min="3" max="3" width="54" customWidth="1"/>
    <col min="4" max="5" width="12.42578125" customWidth="1"/>
    <col min="6" max="6" width="12.28515625" customWidth="1"/>
    <col min="7" max="7" width="12.7109375" customWidth="1"/>
    <col min="8" max="9" width="12.140625" hidden="1" customWidth="1"/>
  </cols>
  <sheetData>
    <row r="1" spans="1:9" ht="21.95" customHeight="1">
      <c r="A1" s="132" t="s">
        <v>391</v>
      </c>
      <c r="B1" s="133"/>
      <c r="C1" s="133"/>
      <c r="D1" s="133"/>
      <c r="E1" s="133"/>
      <c r="F1" s="133"/>
      <c r="G1" s="44"/>
    </row>
    <row r="2" spans="1:9">
      <c r="A2" s="134" t="s">
        <v>0</v>
      </c>
      <c r="B2" s="137" t="s">
        <v>106</v>
      </c>
      <c r="C2" s="156"/>
      <c r="D2" s="140" t="s">
        <v>248</v>
      </c>
      <c r="E2" s="140" t="s">
        <v>253</v>
      </c>
      <c r="F2" s="135"/>
      <c r="G2" s="141"/>
      <c r="H2" s="32"/>
    </row>
    <row r="3" spans="1:9">
      <c r="A3" s="136"/>
      <c r="B3" s="138"/>
      <c r="C3" s="138"/>
      <c r="D3" s="130"/>
      <c r="E3" s="130"/>
      <c r="F3" s="130"/>
      <c r="G3" s="131"/>
      <c r="H3" s="32"/>
    </row>
    <row r="4" spans="1:9">
      <c r="A4" s="142" t="s">
        <v>1</v>
      </c>
      <c r="B4" s="129" t="s">
        <v>107</v>
      </c>
      <c r="C4" s="130"/>
      <c r="D4" s="129" t="s">
        <v>249</v>
      </c>
      <c r="E4" s="129" t="s">
        <v>254</v>
      </c>
      <c r="F4" s="130"/>
      <c r="G4" s="131"/>
      <c r="H4" s="32"/>
    </row>
    <row r="5" spans="1:9">
      <c r="A5" s="136"/>
      <c r="B5" s="130"/>
      <c r="C5" s="130"/>
      <c r="D5" s="130"/>
      <c r="E5" s="130"/>
      <c r="F5" s="130"/>
      <c r="G5" s="131"/>
      <c r="H5" s="32"/>
    </row>
    <row r="6" spans="1:9">
      <c r="A6" s="142" t="s">
        <v>2</v>
      </c>
      <c r="B6" s="129" t="s">
        <v>108</v>
      </c>
      <c r="C6" s="130"/>
      <c r="D6" s="129" t="s">
        <v>250</v>
      </c>
      <c r="E6" s="129"/>
      <c r="F6" s="130"/>
      <c r="G6" s="131"/>
      <c r="H6" s="32"/>
    </row>
    <row r="7" spans="1:9">
      <c r="A7" s="136"/>
      <c r="B7" s="130"/>
      <c r="C7" s="130"/>
      <c r="D7" s="130"/>
      <c r="E7" s="130"/>
      <c r="F7" s="130"/>
      <c r="G7" s="131"/>
      <c r="H7" s="32"/>
    </row>
    <row r="8" spans="1:9">
      <c r="A8" s="142" t="s">
        <v>251</v>
      </c>
      <c r="B8" s="129"/>
      <c r="C8" s="130"/>
      <c r="D8" s="143" t="s">
        <v>233</v>
      </c>
      <c r="E8" s="146">
        <v>41763</v>
      </c>
      <c r="F8" s="130"/>
      <c r="G8" s="131"/>
      <c r="H8" s="32"/>
    </row>
    <row r="9" spans="1:9" ht="13.5" thickBot="1">
      <c r="A9" s="144"/>
      <c r="B9" s="145"/>
      <c r="C9" s="145"/>
      <c r="D9" s="145"/>
      <c r="E9" s="145"/>
      <c r="F9" s="145"/>
      <c r="G9" s="150"/>
      <c r="H9" s="32"/>
    </row>
    <row r="10" spans="1:9" ht="26.25" customHeight="1" thickBot="1">
      <c r="A10" s="78" t="s">
        <v>50</v>
      </c>
      <c r="B10" s="79" t="s">
        <v>51</v>
      </c>
      <c r="C10" s="80" t="s">
        <v>109</v>
      </c>
      <c r="D10" s="81" t="s">
        <v>274</v>
      </c>
      <c r="E10" s="81" t="s">
        <v>275</v>
      </c>
      <c r="F10" s="81" t="s">
        <v>276</v>
      </c>
      <c r="G10" s="82" t="s">
        <v>277</v>
      </c>
      <c r="H10" s="33"/>
    </row>
    <row r="11" spans="1:9">
      <c r="A11" s="39"/>
      <c r="B11" s="39" t="s">
        <v>52</v>
      </c>
      <c r="C11" s="39" t="s">
        <v>111</v>
      </c>
      <c r="D11" s="42">
        <v>0</v>
      </c>
      <c r="E11" s="42">
        <v>0</v>
      </c>
      <c r="F11" s="42">
        <f t="shared" ref="F11:F22" si="0">D11+E11</f>
        <v>0</v>
      </c>
      <c r="G11" s="42">
        <v>3.0311599999999999</v>
      </c>
      <c r="H11" s="34" t="s">
        <v>278</v>
      </c>
      <c r="I11" s="34">
        <f t="shared" ref="I11:I22" si="1">IF(H11="T",0,F11)</f>
        <v>0</v>
      </c>
    </row>
    <row r="12" spans="1:9">
      <c r="A12" s="15"/>
      <c r="B12" s="15" t="s">
        <v>62</v>
      </c>
      <c r="C12" s="15" t="s">
        <v>160</v>
      </c>
      <c r="D12" s="34">
        <v>0</v>
      </c>
      <c r="E12" s="34">
        <v>0</v>
      </c>
      <c r="F12" s="34">
        <f t="shared" si="0"/>
        <v>0</v>
      </c>
      <c r="G12" s="34">
        <v>0.43330999999999997</v>
      </c>
      <c r="H12" s="34" t="s">
        <v>278</v>
      </c>
      <c r="I12" s="34">
        <f t="shared" si="1"/>
        <v>0</v>
      </c>
    </row>
    <row r="13" spans="1:9">
      <c r="A13" s="15"/>
      <c r="B13" s="15" t="s">
        <v>68</v>
      </c>
      <c r="C13" s="15" t="s">
        <v>170</v>
      </c>
      <c r="D13" s="34">
        <v>0</v>
      </c>
      <c r="E13" s="34">
        <v>0</v>
      </c>
      <c r="F13" s="34">
        <f t="shared" si="0"/>
        <v>0</v>
      </c>
      <c r="G13" s="34">
        <v>18.93329</v>
      </c>
      <c r="H13" s="34" t="s">
        <v>278</v>
      </c>
      <c r="I13" s="34">
        <f t="shared" si="1"/>
        <v>0</v>
      </c>
    </row>
    <row r="14" spans="1:9">
      <c r="A14" s="15"/>
      <c r="B14" s="15" t="s">
        <v>74</v>
      </c>
      <c r="C14" s="15" t="s">
        <v>181</v>
      </c>
      <c r="D14" s="34">
        <v>0</v>
      </c>
      <c r="E14" s="34">
        <v>0</v>
      </c>
      <c r="F14" s="34">
        <f t="shared" si="0"/>
        <v>0</v>
      </c>
      <c r="G14" s="34">
        <v>8.4799999999999997E-3</v>
      </c>
      <c r="H14" s="34" t="s">
        <v>278</v>
      </c>
      <c r="I14" s="34">
        <f t="shared" si="1"/>
        <v>0</v>
      </c>
    </row>
    <row r="15" spans="1:9">
      <c r="A15" s="15"/>
      <c r="B15" s="15" t="s">
        <v>78</v>
      </c>
      <c r="C15" s="15" t="s">
        <v>187</v>
      </c>
      <c r="D15" s="34">
        <v>0</v>
      </c>
      <c r="E15" s="34">
        <v>0</v>
      </c>
      <c r="F15" s="34">
        <f t="shared" si="0"/>
        <v>0</v>
      </c>
      <c r="G15" s="34">
        <v>0.81549000000000005</v>
      </c>
      <c r="H15" s="34" t="s">
        <v>278</v>
      </c>
      <c r="I15" s="34">
        <f t="shared" si="1"/>
        <v>0</v>
      </c>
    </row>
    <row r="16" spans="1:9">
      <c r="A16" s="15"/>
      <c r="B16" s="15" t="s">
        <v>81</v>
      </c>
      <c r="C16" s="15" t="s">
        <v>198</v>
      </c>
      <c r="D16" s="34">
        <v>0</v>
      </c>
      <c r="E16" s="34">
        <v>0</v>
      </c>
      <c r="F16" s="34">
        <f t="shared" si="0"/>
        <v>0</v>
      </c>
      <c r="G16" s="34">
        <v>0.17082</v>
      </c>
      <c r="H16" s="34" t="s">
        <v>278</v>
      </c>
      <c r="I16" s="34">
        <f t="shared" si="1"/>
        <v>0</v>
      </c>
    </row>
    <row r="17" spans="1:9">
      <c r="A17" s="15"/>
      <c r="B17" s="15" t="s">
        <v>84</v>
      </c>
      <c r="C17" s="15" t="s">
        <v>204</v>
      </c>
      <c r="D17" s="34">
        <v>0</v>
      </c>
      <c r="E17" s="34">
        <v>0</v>
      </c>
      <c r="F17" s="34">
        <f t="shared" si="0"/>
        <v>0</v>
      </c>
      <c r="G17" s="34">
        <v>0.72806000000000004</v>
      </c>
      <c r="H17" s="34" t="s">
        <v>278</v>
      </c>
      <c r="I17" s="34">
        <f t="shared" si="1"/>
        <v>0</v>
      </c>
    </row>
    <row r="18" spans="1:9">
      <c r="A18" s="15"/>
      <c r="B18" s="15" t="s">
        <v>86</v>
      </c>
      <c r="C18" s="15" t="s">
        <v>207</v>
      </c>
      <c r="D18" s="34">
        <v>0</v>
      </c>
      <c r="E18" s="34">
        <v>0</v>
      </c>
      <c r="F18" s="34">
        <f t="shared" si="0"/>
        <v>0</v>
      </c>
      <c r="G18" s="34">
        <v>1.6959999999999999E-2</v>
      </c>
      <c r="H18" s="34" t="s">
        <v>278</v>
      </c>
      <c r="I18" s="34">
        <f t="shared" si="1"/>
        <v>0</v>
      </c>
    </row>
    <row r="19" spans="1:9">
      <c r="A19" s="15"/>
      <c r="B19" s="15" t="s">
        <v>88</v>
      </c>
      <c r="C19" s="15" t="s">
        <v>210</v>
      </c>
      <c r="D19" s="34">
        <v>0</v>
      </c>
      <c r="E19" s="34">
        <v>0</v>
      </c>
      <c r="F19" s="34">
        <f t="shared" si="0"/>
        <v>0</v>
      </c>
      <c r="G19" s="34">
        <v>19.43111</v>
      </c>
      <c r="H19" s="34" t="s">
        <v>278</v>
      </c>
      <c r="I19" s="34">
        <f t="shared" si="1"/>
        <v>0</v>
      </c>
    </row>
    <row r="20" spans="1:9">
      <c r="A20" s="15"/>
      <c r="B20" s="15" t="s">
        <v>91</v>
      </c>
      <c r="C20" s="15" t="s">
        <v>213</v>
      </c>
      <c r="D20" s="34">
        <v>0</v>
      </c>
      <c r="E20" s="34">
        <v>0</v>
      </c>
      <c r="F20" s="34">
        <f t="shared" si="0"/>
        <v>0</v>
      </c>
      <c r="G20" s="34">
        <v>0</v>
      </c>
      <c r="H20" s="34" t="s">
        <v>278</v>
      </c>
      <c r="I20" s="34">
        <f t="shared" si="1"/>
        <v>0</v>
      </c>
    </row>
    <row r="21" spans="1:9">
      <c r="A21" s="15"/>
      <c r="B21" s="15" t="s">
        <v>93</v>
      </c>
      <c r="C21" s="15" t="s">
        <v>215</v>
      </c>
      <c r="D21" s="34">
        <v>0</v>
      </c>
      <c r="E21" s="34">
        <v>0</v>
      </c>
      <c r="F21" s="34">
        <f t="shared" si="0"/>
        <v>0</v>
      </c>
      <c r="G21" s="34">
        <v>3.3919999999999999E-2</v>
      </c>
      <c r="H21" s="34" t="s">
        <v>278</v>
      </c>
      <c r="I21" s="34">
        <f t="shared" si="1"/>
        <v>0</v>
      </c>
    </row>
    <row r="22" spans="1:9">
      <c r="A22" s="15"/>
      <c r="B22" s="15" t="s">
        <v>100</v>
      </c>
      <c r="C22" s="15" t="s">
        <v>224</v>
      </c>
      <c r="D22" s="34">
        <v>0</v>
      </c>
      <c r="E22" s="34">
        <v>0</v>
      </c>
      <c r="F22" s="34">
        <f t="shared" si="0"/>
        <v>0</v>
      </c>
      <c r="G22" s="34">
        <v>0</v>
      </c>
      <c r="H22" s="34" t="s">
        <v>278</v>
      </c>
      <c r="I22" s="34">
        <f t="shared" si="1"/>
        <v>0</v>
      </c>
    </row>
    <row r="24" spans="1:9">
      <c r="E24" s="43" t="s">
        <v>247</v>
      </c>
      <c r="F24" s="38">
        <f>SUM(I11:I22)</f>
        <v>0</v>
      </c>
    </row>
  </sheetData>
  <mergeCells count="17">
    <mergeCell ref="A6:A7"/>
    <mergeCell ref="B6:C7"/>
    <mergeCell ref="D6:D7"/>
    <mergeCell ref="E6:G7"/>
    <mergeCell ref="A8:A9"/>
    <mergeCell ref="B8:C9"/>
    <mergeCell ref="D8:D9"/>
    <mergeCell ref="E8:G9"/>
    <mergeCell ref="A4:A5"/>
    <mergeCell ref="B4:C5"/>
    <mergeCell ref="D4:D5"/>
    <mergeCell ref="E4:G5"/>
    <mergeCell ref="A1:F1"/>
    <mergeCell ref="A2:A3"/>
    <mergeCell ref="B2:C3"/>
    <mergeCell ref="D2:D3"/>
    <mergeCell ref="E2:G3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4"/>
  <sheetViews>
    <sheetView zoomScale="85" zoomScaleNormal="85" workbookViewId="0">
      <selection activeCell="F160" sqref="F160:F164"/>
    </sheetView>
  </sheetViews>
  <sheetFormatPr defaultColWidth="11.5703125" defaultRowHeight="12.75"/>
  <cols>
    <col min="1" max="1" width="9.140625" customWidth="1"/>
    <col min="2" max="2" width="13.28515625" customWidth="1"/>
    <col min="3" max="3" width="69.7109375" customWidth="1"/>
    <col min="4" max="4" width="14.5703125" customWidth="1"/>
    <col min="5" max="5" width="13.140625" customWidth="1"/>
    <col min="6" max="6" width="8.7109375" customWidth="1"/>
    <col min="7" max="7" width="11.7109375" customWidth="1"/>
    <col min="8" max="8" width="7.42578125" customWidth="1"/>
  </cols>
  <sheetData>
    <row r="1" spans="1:8" ht="21.95" customHeight="1">
      <c r="A1" s="132" t="s">
        <v>279</v>
      </c>
      <c r="B1" s="133"/>
      <c r="C1" s="133"/>
      <c r="D1" s="133"/>
      <c r="E1" s="133"/>
      <c r="F1" s="133"/>
      <c r="G1" s="133"/>
    </row>
    <row r="2" spans="1:8">
      <c r="A2" s="134" t="s">
        <v>0</v>
      </c>
      <c r="B2" s="137" t="s">
        <v>106</v>
      </c>
      <c r="C2" s="156"/>
      <c r="D2" s="140" t="s">
        <v>248</v>
      </c>
      <c r="E2" s="140" t="s">
        <v>253</v>
      </c>
      <c r="F2" s="135"/>
      <c r="G2" s="141"/>
      <c r="H2" s="32"/>
    </row>
    <row r="3" spans="1:8">
      <c r="A3" s="136"/>
      <c r="B3" s="138"/>
      <c r="C3" s="138"/>
      <c r="D3" s="130"/>
      <c r="E3" s="130"/>
      <c r="F3" s="130"/>
      <c r="G3" s="131"/>
      <c r="H3" s="32"/>
    </row>
    <row r="4" spans="1:8">
      <c r="A4" s="142" t="s">
        <v>1</v>
      </c>
      <c r="B4" s="129" t="s">
        <v>107</v>
      </c>
      <c r="C4" s="130"/>
      <c r="D4" s="129" t="s">
        <v>249</v>
      </c>
      <c r="E4" s="129" t="s">
        <v>254</v>
      </c>
      <c r="F4" s="130"/>
      <c r="G4" s="131"/>
      <c r="H4" s="32"/>
    </row>
    <row r="5" spans="1:8">
      <c r="A5" s="136"/>
      <c r="B5" s="130"/>
      <c r="C5" s="130"/>
      <c r="D5" s="130"/>
      <c r="E5" s="130"/>
      <c r="F5" s="130"/>
      <c r="G5" s="131"/>
      <c r="H5" s="32"/>
    </row>
    <row r="6" spans="1:8">
      <c r="A6" s="142" t="s">
        <v>2</v>
      </c>
      <c r="B6" s="129" t="s">
        <v>108</v>
      </c>
      <c r="C6" s="130"/>
      <c r="D6" s="129" t="s">
        <v>250</v>
      </c>
      <c r="E6" s="129"/>
      <c r="F6" s="130"/>
      <c r="G6" s="131"/>
      <c r="H6" s="32"/>
    </row>
    <row r="7" spans="1:8">
      <c r="A7" s="136"/>
      <c r="B7" s="130"/>
      <c r="C7" s="130"/>
      <c r="D7" s="130"/>
      <c r="E7" s="130"/>
      <c r="F7" s="130"/>
      <c r="G7" s="131"/>
      <c r="H7" s="32"/>
    </row>
    <row r="8" spans="1:8">
      <c r="A8" s="142" t="s">
        <v>251</v>
      </c>
      <c r="B8" s="129"/>
      <c r="C8" s="130"/>
      <c r="D8" s="143" t="s">
        <v>233</v>
      </c>
      <c r="E8" s="146">
        <v>41763</v>
      </c>
      <c r="F8" s="130"/>
      <c r="G8" s="131"/>
      <c r="H8" s="32"/>
    </row>
    <row r="9" spans="1:8" ht="13.5" thickBot="1">
      <c r="A9" s="144"/>
      <c r="B9" s="145"/>
      <c r="C9" s="145"/>
      <c r="D9" s="145"/>
      <c r="E9" s="145"/>
      <c r="F9" s="145"/>
      <c r="G9" s="150"/>
      <c r="H9" s="32"/>
    </row>
    <row r="10" spans="1:8" ht="26.25" thickBot="1">
      <c r="A10" s="40" t="s">
        <v>4</v>
      </c>
      <c r="B10" s="41" t="s">
        <v>51</v>
      </c>
      <c r="C10" s="41" t="s">
        <v>388</v>
      </c>
      <c r="D10" s="41" t="s">
        <v>234</v>
      </c>
      <c r="E10" s="45" t="s">
        <v>242</v>
      </c>
      <c r="G10" s="78" t="s">
        <v>280</v>
      </c>
      <c r="H10" s="33"/>
    </row>
    <row r="11" spans="1:8">
      <c r="A11" s="3"/>
      <c r="B11" s="106" t="s">
        <v>52</v>
      </c>
      <c r="C11" s="151" t="s">
        <v>111</v>
      </c>
      <c r="D11" s="152"/>
      <c r="E11" s="152"/>
      <c r="F11" s="152"/>
      <c r="G11" s="25"/>
      <c r="H11" s="107"/>
    </row>
    <row r="12" spans="1:8">
      <c r="A12" s="4" t="s">
        <v>6</v>
      </c>
      <c r="B12" s="4" t="s">
        <v>53</v>
      </c>
      <c r="C12" s="69" t="s">
        <v>112</v>
      </c>
      <c r="D12" s="69" t="s">
        <v>235</v>
      </c>
      <c r="E12" s="70">
        <v>11.07</v>
      </c>
      <c r="F12" s="70"/>
      <c r="G12" s="29" t="s">
        <v>259</v>
      </c>
    </row>
    <row r="13" spans="1:8" ht="25.5">
      <c r="C13" s="71" t="s">
        <v>113</v>
      </c>
      <c r="D13" s="72"/>
      <c r="E13" s="73">
        <v>5.16</v>
      </c>
      <c r="F13" s="72"/>
    </row>
    <row r="14" spans="1:8" ht="25.5">
      <c r="C14" s="71" t="s">
        <v>380</v>
      </c>
      <c r="D14" s="72"/>
      <c r="E14" s="73">
        <v>6.54</v>
      </c>
      <c r="F14" s="72"/>
      <c r="H14" s="107"/>
    </row>
    <row r="15" spans="1:8">
      <c r="A15" s="4" t="s">
        <v>7</v>
      </c>
      <c r="B15" s="4" t="s">
        <v>54</v>
      </c>
      <c r="C15" s="69" t="s">
        <v>114</v>
      </c>
      <c r="D15" s="69" t="s">
        <v>236</v>
      </c>
      <c r="E15" s="70">
        <v>905.9</v>
      </c>
      <c r="F15" s="70"/>
      <c r="G15" s="29" t="s">
        <v>259</v>
      </c>
    </row>
    <row r="16" spans="1:8" ht="25.5">
      <c r="C16" s="71" t="s">
        <v>115</v>
      </c>
      <c r="D16" s="72"/>
      <c r="E16" s="73">
        <v>103.96</v>
      </c>
      <c r="F16" s="72"/>
    </row>
    <row r="17" spans="1:8" ht="25.5">
      <c r="C17" s="71" t="s">
        <v>381</v>
      </c>
      <c r="D17" s="72"/>
      <c r="E17" s="73">
        <v>114.41</v>
      </c>
      <c r="F17" s="72"/>
    </row>
    <row r="18" spans="1:8">
      <c r="C18" s="71" t="s">
        <v>116</v>
      </c>
      <c r="D18" s="72"/>
      <c r="E18" s="73">
        <v>237.02</v>
      </c>
      <c r="F18" s="72"/>
    </row>
    <row r="19" spans="1:8" ht="25.5">
      <c r="C19" s="71" t="s">
        <v>117</v>
      </c>
      <c r="D19" s="72"/>
      <c r="E19" s="73">
        <v>300.60000000000002</v>
      </c>
      <c r="F19" s="72"/>
    </row>
    <row r="20" spans="1:8" ht="25.5">
      <c r="C20" s="71" t="s">
        <v>118</v>
      </c>
      <c r="D20" s="72"/>
      <c r="E20" s="73">
        <v>53.1</v>
      </c>
      <c r="F20" s="72"/>
    </row>
    <row r="21" spans="1:8" ht="25.5">
      <c r="C21" s="71" t="s">
        <v>119</v>
      </c>
      <c r="D21" s="72"/>
      <c r="E21" s="73">
        <v>71.069999999999993</v>
      </c>
      <c r="F21" s="72"/>
    </row>
    <row r="22" spans="1:8">
      <c r="C22" s="71" t="s">
        <v>120</v>
      </c>
      <c r="D22" s="72"/>
      <c r="E22" s="73">
        <v>25.74</v>
      </c>
      <c r="F22" s="72"/>
      <c r="H22" s="107"/>
    </row>
    <row r="23" spans="1:8">
      <c r="A23" s="4" t="s">
        <v>8</v>
      </c>
      <c r="B23" s="4" t="s">
        <v>55</v>
      </c>
      <c r="C23" s="69" t="s">
        <v>121</v>
      </c>
      <c r="D23" s="69" t="s">
        <v>235</v>
      </c>
      <c r="E23" s="70">
        <v>949.61</v>
      </c>
      <c r="F23" s="70"/>
      <c r="G23" s="29" t="s">
        <v>259</v>
      </c>
    </row>
    <row r="24" spans="1:8">
      <c r="C24" s="71" t="s">
        <v>122</v>
      </c>
      <c r="D24" s="72"/>
      <c r="E24" s="73">
        <v>140.59</v>
      </c>
      <c r="F24" s="72"/>
    </row>
    <row r="25" spans="1:8" ht="25.5">
      <c r="C25" s="71" t="s">
        <v>382</v>
      </c>
      <c r="D25" s="72"/>
      <c r="E25" s="73">
        <v>200.83099999999999</v>
      </c>
      <c r="F25" s="72"/>
    </row>
    <row r="26" spans="1:8" ht="25.5">
      <c r="C26" s="71" t="s">
        <v>123</v>
      </c>
      <c r="D26" s="72"/>
      <c r="E26" s="73">
        <v>424.16</v>
      </c>
      <c r="F26" s="72"/>
    </row>
    <row r="27" spans="1:8">
      <c r="C27" s="71" t="s">
        <v>124</v>
      </c>
      <c r="D27" s="72"/>
      <c r="E27" s="73">
        <v>27.4</v>
      </c>
      <c r="F27" s="72"/>
    </row>
    <row r="28" spans="1:8" ht="25.5">
      <c r="C28" s="71" t="s">
        <v>125</v>
      </c>
      <c r="D28" s="72"/>
      <c r="E28" s="73">
        <v>143.59</v>
      </c>
      <c r="F28" s="72"/>
    </row>
    <row r="29" spans="1:8">
      <c r="C29" s="71" t="s">
        <v>126</v>
      </c>
      <c r="D29" s="72"/>
      <c r="E29" s="73">
        <v>13.04</v>
      </c>
      <c r="F29" s="72"/>
      <c r="H29" s="107"/>
    </row>
    <row r="30" spans="1:8">
      <c r="A30" s="4" t="s">
        <v>9</v>
      </c>
      <c r="B30" s="4" t="s">
        <v>56</v>
      </c>
      <c r="C30" s="69" t="s">
        <v>127</v>
      </c>
      <c r="D30" s="69" t="s">
        <v>235</v>
      </c>
      <c r="E30" s="70">
        <v>58.9</v>
      </c>
      <c r="F30" s="70"/>
      <c r="G30" s="29" t="s">
        <v>259</v>
      </c>
      <c r="H30" s="107"/>
    </row>
    <row r="31" spans="1:8">
      <c r="C31" s="71" t="s">
        <v>128</v>
      </c>
      <c r="D31" s="72"/>
      <c r="E31" s="73">
        <v>7.57</v>
      </c>
      <c r="F31" s="72"/>
    </row>
    <row r="32" spans="1:8">
      <c r="C32" s="71" t="s">
        <v>129</v>
      </c>
      <c r="D32" s="72"/>
      <c r="E32" s="73">
        <v>3.38</v>
      </c>
      <c r="F32" s="72"/>
    </row>
    <row r="33" spans="1:8">
      <c r="C33" s="71" t="s">
        <v>130</v>
      </c>
      <c r="D33" s="72"/>
      <c r="E33" s="73">
        <v>37.78</v>
      </c>
      <c r="F33" s="72"/>
    </row>
    <row r="34" spans="1:8">
      <c r="C34" s="71" t="s">
        <v>131</v>
      </c>
      <c r="D34" s="72"/>
      <c r="E34" s="73">
        <v>2</v>
      </c>
      <c r="F34" s="72"/>
    </row>
    <row r="35" spans="1:8">
      <c r="C35" s="71" t="s">
        <v>132</v>
      </c>
      <c r="D35" s="72"/>
      <c r="E35" s="73">
        <v>7.01</v>
      </c>
      <c r="F35" s="72"/>
    </row>
    <row r="36" spans="1:8">
      <c r="C36" s="71" t="s">
        <v>133</v>
      </c>
      <c r="D36" s="72"/>
      <c r="E36" s="73">
        <v>1.1599999999999999</v>
      </c>
      <c r="F36" s="72"/>
      <c r="H36" s="107"/>
    </row>
    <row r="37" spans="1:8">
      <c r="A37" s="4" t="s">
        <v>10</v>
      </c>
      <c r="B37" s="4" t="s">
        <v>57</v>
      </c>
      <c r="C37" s="69" t="s">
        <v>134</v>
      </c>
      <c r="D37" s="69" t="s">
        <v>236</v>
      </c>
      <c r="E37" s="70">
        <v>294.55</v>
      </c>
      <c r="F37" s="70"/>
      <c r="G37" s="29" t="s">
        <v>259</v>
      </c>
      <c r="H37" s="107"/>
    </row>
    <row r="38" spans="1:8">
      <c r="C38" s="71" t="s">
        <v>135</v>
      </c>
      <c r="D38" s="72"/>
      <c r="E38" s="73">
        <v>37.86</v>
      </c>
      <c r="F38" s="72"/>
    </row>
    <row r="39" spans="1:8">
      <c r="C39" s="71" t="s">
        <v>136</v>
      </c>
      <c r="D39" s="72"/>
      <c r="E39" s="73">
        <v>16.899999999999999</v>
      </c>
      <c r="F39" s="72"/>
    </row>
    <row r="40" spans="1:8">
      <c r="C40" s="71" t="s">
        <v>137</v>
      </c>
      <c r="D40" s="72"/>
      <c r="E40" s="73">
        <v>188.9</v>
      </c>
      <c r="F40" s="72"/>
    </row>
    <row r="41" spans="1:8">
      <c r="C41" s="71" t="s">
        <v>138</v>
      </c>
      <c r="D41" s="72"/>
      <c r="E41" s="73">
        <v>10</v>
      </c>
      <c r="F41" s="72"/>
    </row>
    <row r="42" spans="1:8">
      <c r="C42" s="71" t="s">
        <v>139</v>
      </c>
      <c r="D42" s="72"/>
      <c r="E42" s="73">
        <v>35.07</v>
      </c>
      <c r="F42" s="72"/>
    </row>
    <row r="43" spans="1:8">
      <c r="C43" s="71" t="s">
        <v>140</v>
      </c>
      <c r="D43" s="72"/>
      <c r="E43" s="73">
        <v>5.82</v>
      </c>
      <c r="F43" s="72"/>
    </row>
    <row r="44" spans="1:8">
      <c r="A44" s="4" t="s">
        <v>11</v>
      </c>
      <c r="B44" s="4" t="s">
        <v>57</v>
      </c>
      <c r="C44" s="69" t="s">
        <v>141</v>
      </c>
      <c r="D44" s="69" t="s">
        <v>236</v>
      </c>
      <c r="E44" s="70">
        <v>156.06</v>
      </c>
      <c r="F44" s="70"/>
      <c r="G44" s="29" t="s">
        <v>259</v>
      </c>
    </row>
    <row r="45" spans="1:8">
      <c r="C45" s="71" t="s">
        <v>142</v>
      </c>
      <c r="D45" s="72"/>
      <c r="E45" s="73">
        <v>36.06</v>
      </c>
      <c r="F45" s="72"/>
    </row>
    <row r="46" spans="1:8">
      <c r="C46" s="71" t="s">
        <v>143</v>
      </c>
      <c r="D46" s="72"/>
      <c r="E46" s="73">
        <v>120</v>
      </c>
      <c r="F46" s="72"/>
    </row>
    <row r="47" spans="1:8" ht="25.5">
      <c r="A47" s="4" t="s">
        <v>12</v>
      </c>
      <c r="B47" s="4" t="s">
        <v>58</v>
      </c>
      <c r="C47" s="69" t="s">
        <v>144</v>
      </c>
      <c r="D47" s="69" t="s">
        <v>235</v>
      </c>
      <c r="E47" s="70">
        <v>15.61</v>
      </c>
      <c r="F47" s="70"/>
      <c r="G47" s="29" t="s">
        <v>259</v>
      </c>
    </row>
    <row r="48" spans="1:8">
      <c r="C48" s="71" t="s">
        <v>145</v>
      </c>
      <c r="D48" s="72"/>
      <c r="E48" s="73">
        <v>3.61</v>
      </c>
      <c r="F48" s="72"/>
    </row>
    <row r="49" spans="1:7">
      <c r="C49" s="71" t="s">
        <v>146</v>
      </c>
      <c r="D49" s="72"/>
      <c r="E49" s="73">
        <v>12</v>
      </c>
      <c r="F49" s="72"/>
    </row>
    <row r="50" spans="1:7">
      <c r="A50" s="4" t="s">
        <v>13</v>
      </c>
      <c r="B50" s="4" t="s">
        <v>59</v>
      </c>
      <c r="C50" s="69" t="s">
        <v>147</v>
      </c>
      <c r="D50" s="69" t="s">
        <v>236</v>
      </c>
      <c r="E50" s="70">
        <v>663.43</v>
      </c>
      <c r="F50" s="70"/>
      <c r="G50" s="29" t="s">
        <v>259</v>
      </c>
    </row>
    <row r="51" spans="1:7">
      <c r="C51" s="71" t="s">
        <v>148</v>
      </c>
      <c r="D51" s="72"/>
      <c r="E51" s="73">
        <v>167.59</v>
      </c>
      <c r="F51" s="72"/>
    </row>
    <row r="52" spans="1:7" ht="25.5">
      <c r="C52" s="71" t="s">
        <v>383</v>
      </c>
      <c r="D52" s="72"/>
      <c r="E52" s="73">
        <v>0</v>
      </c>
      <c r="F52" s="72"/>
    </row>
    <row r="53" spans="1:7">
      <c r="C53" s="71" t="s">
        <v>149</v>
      </c>
      <c r="D53" s="72"/>
      <c r="E53" s="73">
        <v>204.94</v>
      </c>
      <c r="F53" s="72"/>
    </row>
    <row r="54" spans="1:7">
      <c r="C54" s="71" t="s">
        <v>150</v>
      </c>
      <c r="D54" s="72"/>
      <c r="E54" s="73">
        <v>171.48</v>
      </c>
      <c r="F54" s="72"/>
    </row>
    <row r="55" spans="1:7">
      <c r="C55" s="71" t="s">
        <v>151</v>
      </c>
      <c r="D55" s="72"/>
      <c r="E55" s="73">
        <v>41.1</v>
      </c>
      <c r="F55" s="72"/>
    </row>
    <row r="56" spans="1:7" ht="25.5">
      <c r="C56" s="71" t="s">
        <v>152</v>
      </c>
      <c r="D56" s="72"/>
      <c r="E56" s="73">
        <v>54.98</v>
      </c>
      <c r="F56" s="72"/>
    </row>
    <row r="57" spans="1:7">
      <c r="C57" s="71" t="s">
        <v>153</v>
      </c>
      <c r="D57" s="72"/>
      <c r="E57" s="73">
        <v>23.34</v>
      </c>
      <c r="F57" s="72"/>
    </row>
    <row r="58" spans="1:7">
      <c r="A58" s="5" t="s">
        <v>14</v>
      </c>
      <c r="B58" s="5" t="s">
        <v>60</v>
      </c>
      <c r="C58" s="74" t="s">
        <v>154</v>
      </c>
      <c r="D58" s="74" t="s">
        <v>236</v>
      </c>
      <c r="E58" s="75">
        <v>473.14</v>
      </c>
      <c r="F58" s="75"/>
      <c r="G58" s="30" t="s">
        <v>259</v>
      </c>
    </row>
    <row r="59" spans="1:7">
      <c r="C59" s="71" t="s">
        <v>155</v>
      </c>
      <c r="D59" s="72"/>
      <c r="E59" s="73">
        <v>294.55</v>
      </c>
      <c r="F59" s="72"/>
    </row>
    <row r="60" spans="1:7">
      <c r="C60" s="71" t="s">
        <v>156</v>
      </c>
      <c r="D60" s="72"/>
      <c r="E60" s="73">
        <v>156.06</v>
      </c>
      <c r="F60" s="72"/>
    </row>
    <row r="61" spans="1:7">
      <c r="C61" s="71"/>
      <c r="D61" s="72"/>
      <c r="E61" s="73">
        <v>0</v>
      </c>
      <c r="F61" s="72"/>
    </row>
    <row r="62" spans="1:7">
      <c r="C62" s="71" t="s">
        <v>157</v>
      </c>
      <c r="D62" s="72"/>
      <c r="E62" s="73">
        <v>22.53</v>
      </c>
      <c r="F62" s="72"/>
    </row>
    <row r="63" spans="1:7">
      <c r="A63" s="5" t="s">
        <v>15</v>
      </c>
      <c r="B63" s="5" t="s">
        <v>61</v>
      </c>
      <c r="C63" s="74" t="s">
        <v>158</v>
      </c>
      <c r="D63" s="74" t="s">
        <v>236</v>
      </c>
      <c r="E63" s="75">
        <v>663.43</v>
      </c>
      <c r="F63" s="75"/>
      <c r="G63" s="30" t="s">
        <v>259</v>
      </c>
    </row>
    <row r="64" spans="1:7">
      <c r="C64" s="71" t="s">
        <v>159</v>
      </c>
      <c r="D64" s="72"/>
      <c r="E64" s="73">
        <v>663.43</v>
      </c>
      <c r="F64" s="72"/>
    </row>
    <row r="65" spans="1:7">
      <c r="A65" s="6"/>
      <c r="B65" s="13" t="s">
        <v>62</v>
      </c>
      <c r="C65" s="153" t="s">
        <v>160</v>
      </c>
      <c r="D65" s="154"/>
      <c r="E65" s="154"/>
      <c r="F65" s="154"/>
      <c r="G65" s="26"/>
    </row>
    <row r="66" spans="1:7">
      <c r="A66" s="4" t="s">
        <v>16</v>
      </c>
      <c r="B66" s="4" t="s">
        <v>63</v>
      </c>
      <c r="C66" s="69" t="s">
        <v>161</v>
      </c>
      <c r="D66" s="69" t="s">
        <v>235</v>
      </c>
      <c r="E66" s="70">
        <v>14.4</v>
      </c>
      <c r="F66" s="70"/>
      <c r="G66" s="29" t="s">
        <v>259</v>
      </c>
    </row>
    <row r="67" spans="1:7">
      <c r="C67" s="71" t="s">
        <v>162</v>
      </c>
      <c r="D67" s="72"/>
      <c r="E67" s="73">
        <v>14.4</v>
      </c>
      <c r="F67" s="72"/>
    </row>
    <row r="68" spans="1:7" ht="25.5">
      <c r="A68" s="4" t="s">
        <v>17</v>
      </c>
      <c r="B68" s="4" t="s">
        <v>64</v>
      </c>
      <c r="C68" s="69" t="s">
        <v>163</v>
      </c>
      <c r="D68" s="69" t="s">
        <v>236</v>
      </c>
      <c r="E68" s="70">
        <v>663.43</v>
      </c>
      <c r="F68" s="70"/>
      <c r="G68" s="29" t="s">
        <v>259</v>
      </c>
    </row>
    <row r="69" spans="1:7">
      <c r="C69" s="71" t="s">
        <v>148</v>
      </c>
      <c r="D69" s="72"/>
      <c r="E69" s="73">
        <v>63.66</v>
      </c>
      <c r="F69" s="72"/>
    </row>
    <row r="70" spans="1:7" ht="25.5">
      <c r="C70" s="71" t="s">
        <v>384</v>
      </c>
      <c r="D70" s="72"/>
      <c r="E70" s="73">
        <v>103.93</v>
      </c>
      <c r="F70" s="72"/>
    </row>
    <row r="71" spans="1:7">
      <c r="C71" s="71" t="s">
        <v>149</v>
      </c>
      <c r="D71" s="72"/>
      <c r="E71" s="73">
        <v>204.94</v>
      </c>
      <c r="F71" s="72"/>
    </row>
    <row r="72" spans="1:7">
      <c r="C72" s="71" t="s">
        <v>150</v>
      </c>
      <c r="D72" s="72"/>
      <c r="E72" s="73">
        <v>171.48</v>
      </c>
      <c r="F72" s="72"/>
    </row>
    <row r="73" spans="1:7">
      <c r="C73" s="71" t="s">
        <v>151</v>
      </c>
      <c r="D73" s="72"/>
      <c r="E73" s="73">
        <v>41.1</v>
      </c>
      <c r="F73" s="72"/>
    </row>
    <row r="74" spans="1:7" ht="25.5">
      <c r="C74" s="71" t="s">
        <v>152</v>
      </c>
      <c r="D74" s="72"/>
      <c r="E74" s="73">
        <v>54.98</v>
      </c>
      <c r="F74" s="72"/>
    </row>
    <row r="75" spans="1:7">
      <c r="C75" s="71" t="s">
        <v>153</v>
      </c>
      <c r="D75" s="72"/>
      <c r="E75" s="73">
        <v>23.34</v>
      </c>
      <c r="F75" s="72"/>
    </row>
    <row r="76" spans="1:7">
      <c r="A76" s="4" t="s">
        <v>18</v>
      </c>
      <c r="B76" s="4" t="s">
        <v>65</v>
      </c>
      <c r="C76" s="69" t="s">
        <v>164</v>
      </c>
      <c r="D76" s="69" t="s">
        <v>235</v>
      </c>
      <c r="E76" s="70">
        <v>126.3</v>
      </c>
      <c r="F76" s="70"/>
      <c r="G76" s="29" t="s">
        <v>259</v>
      </c>
    </row>
    <row r="77" spans="1:7">
      <c r="C77" s="71" t="s">
        <v>165</v>
      </c>
      <c r="D77" s="72"/>
      <c r="E77" s="73">
        <v>111.9</v>
      </c>
      <c r="F77" s="72"/>
    </row>
    <row r="78" spans="1:7">
      <c r="C78" s="71" t="s">
        <v>166</v>
      </c>
      <c r="D78" s="72"/>
      <c r="E78" s="73">
        <v>14.4</v>
      </c>
      <c r="F78" s="72"/>
    </row>
    <row r="79" spans="1:7">
      <c r="A79" s="4" t="s">
        <v>19</v>
      </c>
      <c r="B79" s="4" t="s">
        <v>66</v>
      </c>
      <c r="C79" s="69" t="s">
        <v>167</v>
      </c>
      <c r="D79" s="69" t="s">
        <v>235</v>
      </c>
      <c r="E79" s="70">
        <v>126.3</v>
      </c>
      <c r="F79" s="70"/>
      <c r="G79" s="29" t="s">
        <v>259</v>
      </c>
    </row>
    <row r="80" spans="1:7">
      <c r="C80" s="71" t="s">
        <v>168</v>
      </c>
      <c r="D80" s="72"/>
      <c r="E80" s="73">
        <v>126.3</v>
      </c>
      <c r="F80" s="72"/>
    </row>
    <row r="81" spans="1:7">
      <c r="A81" s="4" t="s">
        <v>20</v>
      </c>
      <c r="B81" s="4" t="s">
        <v>67</v>
      </c>
      <c r="C81" s="69" t="s">
        <v>169</v>
      </c>
      <c r="D81" s="69" t="s">
        <v>237</v>
      </c>
      <c r="E81" s="70">
        <v>3.45</v>
      </c>
      <c r="F81" s="70"/>
      <c r="G81" s="29" t="s">
        <v>259</v>
      </c>
    </row>
    <row r="82" spans="1:7">
      <c r="C82" s="71" t="s">
        <v>385</v>
      </c>
      <c r="D82" s="72"/>
      <c r="E82" s="73">
        <v>3.45</v>
      </c>
      <c r="F82" s="72"/>
    </row>
    <row r="83" spans="1:7">
      <c r="A83" s="6"/>
      <c r="B83" s="13" t="s">
        <v>68</v>
      </c>
      <c r="C83" s="153" t="s">
        <v>170</v>
      </c>
      <c r="D83" s="154"/>
      <c r="E83" s="154"/>
      <c r="F83" s="154"/>
      <c r="G83" s="26"/>
    </row>
    <row r="84" spans="1:7">
      <c r="A84" s="4" t="s">
        <v>21</v>
      </c>
      <c r="B84" s="4" t="s">
        <v>69</v>
      </c>
      <c r="C84" s="69" t="s">
        <v>171</v>
      </c>
      <c r="D84" s="69" t="s">
        <v>238</v>
      </c>
      <c r="E84" s="70">
        <v>195.86</v>
      </c>
      <c r="F84" s="70"/>
      <c r="G84" s="29" t="s">
        <v>259</v>
      </c>
    </row>
    <row r="85" spans="1:7">
      <c r="C85" s="71" t="s">
        <v>135</v>
      </c>
      <c r="D85" s="72"/>
      <c r="E85" s="73">
        <v>37.86</v>
      </c>
      <c r="F85" s="72"/>
    </row>
    <row r="86" spans="1:7">
      <c r="C86" s="71" t="s">
        <v>172</v>
      </c>
      <c r="D86" s="72"/>
      <c r="E86" s="73">
        <v>7</v>
      </c>
      <c r="F86" s="72"/>
    </row>
    <row r="87" spans="1:7">
      <c r="C87" s="71" t="s">
        <v>173</v>
      </c>
      <c r="D87" s="72"/>
      <c r="E87" s="73">
        <v>141</v>
      </c>
      <c r="F87" s="72"/>
    </row>
    <row r="88" spans="1:7">
      <c r="C88" s="71" t="s">
        <v>138</v>
      </c>
      <c r="D88" s="72"/>
      <c r="E88" s="73">
        <v>10</v>
      </c>
      <c r="F88" s="72"/>
    </row>
    <row r="89" spans="1:7">
      <c r="A89" s="5" t="s">
        <v>22</v>
      </c>
      <c r="B89" s="5" t="s">
        <v>70</v>
      </c>
      <c r="C89" s="74" t="s">
        <v>174</v>
      </c>
      <c r="D89" s="74" t="s">
        <v>236</v>
      </c>
      <c r="E89" s="75">
        <v>205.65</v>
      </c>
      <c r="F89" s="75"/>
      <c r="G89" s="30" t="s">
        <v>259</v>
      </c>
    </row>
    <row r="90" spans="1:7">
      <c r="C90" s="71" t="s">
        <v>175</v>
      </c>
      <c r="D90" s="72"/>
      <c r="E90" s="73">
        <v>195.86</v>
      </c>
      <c r="F90" s="72"/>
    </row>
    <row r="91" spans="1:7">
      <c r="C91" s="71" t="s">
        <v>176</v>
      </c>
      <c r="D91" s="72"/>
      <c r="E91" s="73">
        <v>9.7899999999999991</v>
      </c>
      <c r="F91" s="72"/>
    </row>
    <row r="92" spans="1:7" ht="25.5">
      <c r="A92" s="4" t="s">
        <v>23</v>
      </c>
      <c r="B92" s="4" t="s">
        <v>71</v>
      </c>
      <c r="C92" s="69" t="s">
        <v>177</v>
      </c>
      <c r="D92" s="69" t="s">
        <v>236</v>
      </c>
      <c r="E92" s="70">
        <v>490.41</v>
      </c>
      <c r="F92" s="70"/>
      <c r="G92" s="29" t="s">
        <v>259</v>
      </c>
    </row>
    <row r="93" spans="1:7">
      <c r="C93" s="71" t="s">
        <v>135</v>
      </c>
      <c r="D93" s="72"/>
      <c r="E93" s="73">
        <v>37.86</v>
      </c>
      <c r="F93" s="72"/>
    </row>
    <row r="94" spans="1:7">
      <c r="C94" s="71" t="s">
        <v>136</v>
      </c>
      <c r="D94" s="72"/>
      <c r="E94" s="73">
        <v>16.899999999999999</v>
      </c>
      <c r="F94" s="72"/>
    </row>
    <row r="95" spans="1:7">
      <c r="C95" s="71" t="s">
        <v>137</v>
      </c>
      <c r="D95" s="72"/>
      <c r="E95" s="73">
        <v>188.9</v>
      </c>
      <c r="F95" s="72"/>
    </row>
    <row r="96" spans="1:7">
      <c r="C96" s="71" t="s">
        <v>138</v>
      </c>
      <c r="D96" s="72"/>
      <c r="E96" s="73">
        <v>10</v>
      </c>
      <c r="F96" s="72"/>
    </row>
    <row r="97" spans="1:7">
      <c r="C97" s="71" t="s">
        <v>139</v>
      </c>
      <c r="D97" s="72"/>
      <c r="E97" s="73">
        <v>35.07</v>
      </c>
      <c r="F97" s="72"/>
    </row>
    <row r="98" spans="1:7">
      <c r="C98" s="71" t="s">
        <v>140</v>
      </c>
      <c r="D98" s="72"/>
      <c r="E98" s="73">
        <v>5.82</v>
      </c>
      <c r="F98" s="72"/>
    </row>
    <row r="99" spans="1:7">
      <c r="C99" s="71" t="s">
        <v>178</v>
      </c>
      <c r="D99" s="72"/>
      <c r="E99" s="73">
        <v>195.86</v>
      </c>
      <c r="F99" s="72"/>
    </row>
    <row r="100" spans="1:7">
      <c r="A100" s="5" t="s">
        <v>24</v>
      </c>
      <c r="B100" s="5" t="s">
        <v>72</v>
      </c>
      <c r="C100" s="74" t="s">
        <v>179</v>
      </c>
      <c r="D100" s="74" t="s">
        <v>239</v>
      </c>
      <c r="E100" s="75">
        <v>1</v>
      </c>
      <c r="F100" s="75"/>
      <c r="G100" s="30"/>
    </row>
    <row r="101" spans="1:7">
      <c r="A101" s="4" t="s">
        <v>25</v>
      </c>
      <c r="B101" s="4" t="s">
        <v>73</v>
      </c>
      <c r="C101" s="69" t="s">
        <v>180</v>
      </c>
      <c r="D101" s="69" t="s">
        <v>237</v>
      </c>
      <c r="E101" s="70">
        <v>18.89</v>
      </c>
      <c r="F101" s="70"/>
      <c r="G101" s="29" t="s">
        <v>259</v>
      </c>
    </row>
    <row r="102" spans="1:7">
      <c r="C102" s="71" t="s">
        <v>386</v>
      </c>
      <c r="D102" s="72"/>
      <c r="E102" s="73">
        <v>18.89</v>
      </c>
      <c r="F102" s="72"/>
    </row>
    <row r="103" spans="1:7">
      <c r="A103" s="6"/>
      <c r="B103" s="13" t="s">
        <v>74</v>
      </c>
      <c r="C103" s="153" t="s">
        <v>181</v>
      </c>
      <c r="D103" s="154"/>
      <c r="E103" s="154"/>
      <c r="F103" s="154"/>
      <c r="G103" s="26"/>
    </row>
    <row r="104" spans="1:7">
      <c r="A104" s="4" t="s">
        <v>26</v>
      </c>
      <c r="B104" s="4" t="s">
        <v>75</v>
      </c>
      <c r="C104" s="69" t="s">
        <v>182</v>
      </c>
      <c r="D104" s="69" t="s">
        <v>235</v>
      </c>
      <c r="E104" s="70">
        <v>2.8</v>
      </c>
      <c r="F104" s="70"/>
      <c r="G104" s="29" t="s">
        <v>259</v>
      </c>
    </row>
    <row r="105" spans="1:7">
      <c r="C105" s="71" t="s">
        <v>183</v>
      </c>
      <c r="D105" s="72"/>
      <c r="E105" s="73">
        <v>2.8</v>
      </c>
      <c r="F105" s="72"/>
    </row>
    <row r="106" spans="1:7">
      <c r="A106" s="5" t="s">
        <v>27</v>
      </c>
      <c r="B106" s="5" t="s">
        <v>76</v>
      </c>
      <c r="C106" s="74" t="s">
        <v>184</v>
      </c>
      <c r="D106" s="74" t="s">
        <v>235</v>
      </c>
      <c r="E106" s="75">
        <v>2.8</v>
      </c>
      <c r="F106" s="75"/>
      <c r="G106" s="30" t="s">
        <v>259</v>
      </c>
    </row>
    <row r="107" spans="1:7">
      <c r="C107" s="71" t="s">
        <v>183</v>
      </c>
      <c r="D107" s="72"/>
      <c r="E107" s="73">
        <v>2.8</v>
      </c>
      <c r="F107" s="72"/>
    </row>
    <row r="108" spans="1:7">
      <c r="A108" s="4" t="s">
        <v>28</v>
      </c>
      <c r="B108" s="4" t="s">
        <v>77</v>
      </c>
      <c r="C108" s="69" t="s">
        <v>185</v>
      </c>
      <c r="D108" s="69" t="s">
        <v>237</v>
      </c>
      <c r="E108" s="70">
        <v>0.01</v>
      </c>
      <c r="F108" s="70"/>
      <c r="G108" s="29" t="s">
        <v>259</v>
      </c>
    </row>
    <row r="109" spans="1:7">
      <c r="C109" s="71" t="s">
        <v>186</v>
      </c>
      <c r="D109" s="72"/>
      <c r="E109" s="73">
        <v>0.01</v>
      </c>
      <c r="F109" s="72"/>
    </row>
    <row r="110" spans="1:7">
      <c r="A110" s="6"/>
      <c r="B110" s="13" t="s">
        <v>78</v>
      </c>
      <c r="C110" s="153" t="s">
        <v>187</v>
      </c>
      <c r="D110" s="154"/>
      <c r="E110" s="154"/>
      <c r="F110" s="154"/>
      <c r="G110" s="26"/>
    </row>
    <row r="111" spans="1:7">
      <c r="A111" s="4" t="s">
        <v>29</v>
      </c>
      <c r="B111" s="4" t="s">
        <v>79</v>
      </c>
      <c r="C111" s="69" t="s">
        <v>188</v>
      </c>
      <c r="D111" s="69" t="s">
        <v>235</v>
      </c>
      <c r="E111" s="70">
        <v>47.22</v>
      </c>
      <c r="F111" s="70"/>
      <c r="G111" s="29" t="s">
        <v>259</v>
      </c>
    </row>
    <row r="112" spans="1:7">
      <c r="C112" s="71" t="s">
        <v>189</v>
      </c>
      <c r="D112" s="72"/>
      <c r="E112" s="73">
        <v>3.38</v>
      </c>
      <c r="F112" s="72"/>
    </row>
    <row r="113" spans="1:7">
      <c r="C113" s="71" t="s">
        <v>190</v>
      </c>
      <c r="D113" s="72"/>
      <c r="E113" s="73">
        <v>9.58</v>
      </c>
      <c r="F113" s="72"/>
    </row>
    <row r="114" spans="1:7">
      <c r="C114" s="71" t="s">
        <v>191</v>
      </c>
      <c r="D114" s="72"/>
      <c r="E114" s="73">
        <v>12.9</v>
      </c>
      <c r="F114" s="72"/>
    </row>
    <row r="115" spans="1:7">
      <c r="C115" s="71" t="s">
        <v>192</v>
      </c>
      <c r="D115" s="72"/>
      <c r="E115" s="73">
        <v>11.57</v>
      </c>
      <c r="F115" s="72"/>
    </row>
    <row r="116" spans="1:7">
      <c r="C116" s="71" t="s">
        <v>193</v>
      </c>
      <c r="D116" s="72"/>
      <c r="E116" s="73">
        <v>3.1</v>
      </c>
      <c r="F116" s="72"/>
    </row>
    <row r="117" spans="1:7">
      <c r="C117" s="71" t="s">
        <v>194</v>
      </c>
      <c r="D117" s="72"/>
      <c r="E117" s="73">
        <v>4.6500000000000004</v>
      </c>
      <c r="F117" s="72"/>
    </row>
    <row r="118" spans="1:7">
      <c r="C118" s="71" t="s">
        <v>195</v>
      </c>
      <c r="D118" s="72"/>
      <c r="E118" s="73">
        <v>2.04</v>
      </c>
      <c r="F118" s="72"/>
    </row>
    <row r="119" spans="1:7">
      <c r="A119" s="4" t="s">
        <v>30</v>
      </c>
      <c r="B119" s="4" t="s">
        <v>80</v>
      </c>
      <c r="C119" s="69" t="s">
        <v>196</v>
      </c>
      <c r="D119" s="69" t="s">
        <v>237</v>
      </c>
      <c r="E119" s="70">
        <v>0.82</v>
      </c>
      <c r="F119" s="70"/>
      <c r="G119" s="29" t="s">
        <v>259</v>
      </c>
    </row>
    <row r="120" spans="1:7">
      <c r="C120" s="71" t="s">
        <v>197</v>
      </c>
      <c r="D120" s="72"/>
      <c r="E120" s="73">
        <v>0.82</v>
      </c>
      <c r="F120" s="72"/>
    </row>
    <row r="121" spans="1:7">
      <c r="A121" s="6"/>
      <c r="B121" s="13" t="s">
        <v>81</v>
      </c>
      <c r="C121" s="153" t="s">
        <v>198</v>
      </c>
      <c r="D121" s="154"/>
      <c r="E121" s="154"/>
      <c r="F121" s="154"/>
      <c r="G121" s="26"/>
    </row>
    <row r="122" spans="1:7">
      <c r="A122" s="4" t="s">
        <v>31</v>
      </c>
      <c r="B122" s="4" t="s">
        <v>82</v>
      </c>
      <c r="C122" s="69" t="s">
        <v>199</v>
      </c>
      <c r="D122" s="69" t="s">
        <v>235</v>
      </c>
      <c r="E122" s="70">
        <v>334.9</v>
      </c>
      <c r="F122" s="70"/>
      <c r="G122" s="29" t="s">
        <v>259</v>
      </c>
    </row>
    <row r="123" spans="1:7">
      <c r="C123" s="71" t="s">
        <v>200</v>
      </c>
      <c r="D123" s="72"/>
      <c r="E123" s="73">
        <v>111.9</v>
      </c>
      <c r="F123" s="72"/>
    </row>
    <row r="124" spans="1:7">
      <c r="C124" s="71" t="s">
        <v>201</v>
      </c>
      <c r="D124" s="72"/>
      <c r="E124" s="73">
        <v>223</v>
      </c>
      <c r="F124" s="72"/>
    </row>
    <row r="125" spans="1:7">
      <c r="A125" s="4" t="s">
        <v>32</v>
      </c>
      <c r="B125" s="4" t="s">
        <v>83</v>
      </c>
      <c r="C125" s="69" t="s">
        <v>202</v>
      </c>
      <c r="D125" s="69" t="s">
        <v>235</v>
      </c>
      <c r="E125" s="70">
        <v>335</v>
      </c>
      <c r="F125" s="70"/>
      <c r="G125" s="29" t="s">
        <v>259</v>
      </c>
    </row>
    <row r="126" spans="1:7">
      <c r="C126" s="71" t="s">
        <v>203</v>
      </c>
      <c r="D126" s="72"/>
      <c r="E126" s="73">
        <v>335</v>
      </c>
      <c r="F126" s="72"/>
    </row>
    <row r="127" spans="1:7">
      <c r="A127" s="6"/>
      <c r="B127" s="13" t="s">
        <v>84</v>
      </c>
      <c r="C127" s="153" t="s">
        <v>204</v>
      </c>
      <c r="D127" s="154"/>
      <c r="E127" s="154"/>
      <c r="F127" s="154"/>
      <c r="G127" s="26"/>
    </row>
    <row r="128" spans="1:7">
      <c r="A128" s="4" t="s">
        <v>33</v>
      </c>
      <c r="B128" s="4" t="s">
        <v>85</v>
      </c>
      <c r="C128" s="69" t="s">
        <v>205</v>
      </c>
      <c r="D128" s="69" t="s">
        <v>235</v>
      </c>
      <c r="E128" s="70">
        <v>460.8</v>
      </c>
      <c r="F128" s="70"/>
      <c r="G128" s="29" t="s">
        <v>259</v>
      </c>
    </row>
    <row r="129" spans="1:7">
      <c r="C129" s="71" t="s">
        <v>206</v>
      </c>
      <c r="D129" s="72"/>
      <c r="E129" s="73">
        <v>460.8</v>
      </c>
      <c r="F129" s="72"/>
    </row>
    <row r="130" spans="1:7">
      <c r="A130" s="6"/>
      <c r="B130" s="13" t="s">
        <v>86</v>
      </c>
      <c r="C130" s="153" t="s">
        <v>207</v>
      </c>
      <c r="D130" s="154"/>
      <c r="E130" s="154"/>
      <c r="F130" s="154"/>
      <c r="G130" s="26"/>
    </row>
    <row r="131" spans="1:7">
      <c r="A131" s="4" t="s">
        <v>34</v>
      </c>
      <c r="B131" s="4" t="s">
        <v>87</v>
      </c>
      <c r="C131" s="69" t="s">
        <v>208</v>
      </c>
      <c r="D131" s="69" t="s">
        <v>235</v>
      </c>
      <c r="E131" s="70">
        <v>424</v>
      </c>
      <c r="F131" s="70"/>
      <c r="G131" s="29" t="s">
        <v>259</v>
      </c>
    </row>
    <row r="132" spans="1:7">
      <c r="C132" s="71" t="s">
        <v>209</v>
      </c>
      <c r="D132" s="72"/>
      <c r="E132" s="73">
        <v>424</v>
      </c>
      <c r="F132" s="72"/>
    </row>
    <row r="133" spans="1:7">
      <c r="A133" s="6"/>
      <c r="B133" s="13" t="s">
        <v>88</v>
      </c>
      <c r="C133" s="153" t="s">
        <v>210</v>
      </c>
      <c r="D133" s="154"/>
      <c r="E133" s="154"/>
      <c r="F133" s="154"/>
      <c r="G133" s="26"/>
    </row>
    <row r="134" spans="1:7" ht="25.5">
      <c r="A134" s="4" t="s">
        <v>35</v>
      </c>
      <c r="B134" s="4" t="s">
        <v>89</v>
      </c>
      <c r="C134" s="69" t="s">
        <v>211</v>
      </c>
      <c r="D134" s="69" t="s">
        <v>235</v>
      </c>
      <c r="E134" s="70">
        <v>949.61</v>
      </c>
      <c r="F134" s="70"/>
      <c r="G134" s="29" t="s">
        <v>259</v>
      </c>
    </row>
    <row r="135" spans="1:7">
      <c r="C135" s="71" t="s">
        <v>122</v>
      </c>
      <c r="D135" s="72"/>
      <c r="E135" s="73">
        <v>140.59</v>
      </c>
      <c r="F135" s="72"/>
    </row>
    <row r="136" spans="1:7" ht="25.5">
      <c r="C136" s="71" t="s">
        <v>382</v>
      </c>
      <c r="D136" s="72"/>
      <c r="E136" s="73">
        <v>200.83</v>
      </c>
      <c r="F136" s="72"/>
    </row>
    <row r="137" spans="1:7" ht="25.5">
      <c r="C137" s="71" t="s">
        <v>123</v>
      </c>
      <c r="D137" s="72"/>
      <c r="E137" s="73">
        <v>424.16</v>
      </c>
      <c r="F137" s="72"/>
    </row>
    <row r="138" spans="1:7">
      <c r="C138" s="71" t="s">
        <v>124</v>
      </c>
      <c r="D138" s="72"/>
      <c r="E138" s="73">
        <v>27.4</v>
      </c>
      <c r="F138" s="72"/>
    </row>
    <row r="139" spans="1:7" ht="25.5">
      <c r="C139" s="71" t="s">
        <v>125</v>
      </c>
      <c r="D139" s="72"/>
      <c r="E139" s="73">
        <v>143.59</v>
      </c>
      <c r="F139" s="72"/>
    </row>
    <row r="140" spans="1:7">
      <c r="C140" s="71" t="s">
        <v>126</v>
      </c>
      <c r="D140" s="72"/>
      <c r="E140" s="73">
        <v>13.04</v>
      </c>
      <c r="F140" s="72"/>
    </row>
    <row r="141" spans="1:7">
      <c r="A141" s="4" t="s">
        <v>36</v>
      </c>
      <c r="B141" s="4" t="s">
        <v>90</v>
      </c>
      <c r="C141" s="69" t="s">
        <v>212</v>
      </c>
      <c r="D141" s="69" t="s">
        <v>236</v>
      </c>
      <c r="E141" s="70">
        <v>195.86</v>
      </c>
      <c r="F141" s="70"/>
      <c r="G141" s="29" t="s">
        <v>259</v>
      </c>
    </row>
    <row r="142" spans="1:7">
      <c r="C142" s="71" t="s">
        <v>135</v>
      </c>
      <c r="D142" s="72"/>
      <c r="E142" s="73">
        <v>37.86</v>
      </c>
      <c r="F142" s="72"/>
    </row>
    <row r="143" spans="1:7">
      <c r="C143" s="71" t="s">
        <v>172</v>
      </c>
      <c r="D143" s="72"/>
      <c r="E143" s="73">
        <v>7</v>
      </c>
      <c r="F143" s="72"/>
    </row>
    <row r="144" spans="1:7">
      <c r="C144" s="71" t="s">
        <v>173</v>
      </c>
      <c r="D144" s="72"/>
      <c r="E144" s="73">
        <v>141</v>
      </c>
      <c r="F144" s="72"/>
    </row>
    <row r="145" spans="1:7">
      <c r="C145" s="71" t="s">
        <v>138</v>
      </c>
      <c r="D145" s="72"/>
      <c r="E145" s="73">
        <v>10</v>
      </c>
      <c r="F145" s="72"/>
    </row>
    <row r="146" spans="1:7">
      <c r="A146" s="6"/>
      <c r="B146" s="13" t="s">
        <v>91</v>
      </c>
      <c r="C146" s="153" t="s">
        <v>213</v>
      </c>
      <c r="D146" s="154"/>
      <c r="E146" s="154"/>
      <c r="F146" s="154"/>
      <c r="G146" s="26"/>
    </row>
    <row r="147" spans="1:7">
      <c r="A147" s="4" t="s">
        <v>37</v>
      </c>
      <c r="B147" s="4" t="s">
        <v>92</v>
      </c>
      <c r="C147" s="69" t="s">
        <v>214</v>
      </c>
      <c r="D147" s="69" t="s">
        <v>237</v>
      </c>
      <c r="E147" s="70">
        <v>1</v>
      </c>
      <c r="F147" s="70"/>
      <c r="G147" s="29" t="s">
        <v>259</v>
      </c>
    </row>
    <row r="148" spans="1:7">
      <c r="A148" s="6"/>
      <c r="B148" s="13" t="s">
        <v>93</v>
      </c>
      <c r="C148" s="153" t="s">
        <v>215</v>
      </c>
      <c r="D148" s="154"/>
      <c r="E148" s="154"/>
      <c r="F148" s="154"/>
      <c r="G148" s="26"/>
    </row>
    <row r="149" spans="1:7" ht="25.5">
      <c r="A149" s="5" t="s">
        <v>38</v>
      </c>
      <c r="B149" s="5" t="s">
        <v>94</v>
      </c>
      <c r="C149" s="74" t="s">
        <v>387</v>
      </c>
      <c r="D149" s="74" t="s">
        <v>240</v>
      </c>
      <c r="E149" s="75">
        <v>1</v>
      </c>
      <c r="F149" s="75"/>
      <c r="G149" s="30"/>
    </row>
    <row r="150" spans="1:7">
      <c r="A150" s="5" t="s">
        <v>39</v>
      </c>
      <c r="B150" s="5" t="s">
        <v>95</v>
      </c>
      <c r="C150" s="74" t="s">
        <v>216</v>
      </c>
      <c r="D150" s="74" t="s">
        <v>240</v>
      </c>
      <c r="E150" s="75">
        <v>14</v>
      </c>
      <c r="F150" s="75"/>
      <c r="G150" s="30"/>
    </row>
    <row r="151" spans="1:7">
      <c r="C151" s="71" t="s">
        <v>217</v>
      </c>
      <c r="D151" s="72"/>
      <c r="E151" s="73">
        <v>14</v>
      </c>
      <c r="F151" s="72"/>
    </row>
    <row r="152" spans="1:7">
      <c r="A152" s="5" t="s">
        <v>40</v>
      </c>
      <c r="B152" s="5" t="s">
        <v>96</v>
      </c>
      <c r="C152" s="74" t="s">
        <v>218</v>
      </c>
      <c r="D152" s="74" t="s">
        <v>240</v>
      </c>
      <c r="E152" s="75">
        <v>14</v>
      </c>
      <c r="F152" s="75"/>
      <c r="G152" s="30"/>
    </row>
    <row r="153" spans="1:7">
      <c r="C153" s="71" t="s">
        <v>217</v>
      </c>
      <c r="D153" s="72"/>
      <c r="E153" s="73">
        <v>14</v>
      </c>
      <c r="F153" s="72"/>
    </row>
    <row r="154" spans="1:7">
      <c r="A154" s="5" t="s">
        <v>41</v>
      </c>
      <c r="B154" s="5" t="s">
        <v>97</v>
      </c>
      <c r="C154" s="74" t="s">
        <v>219</v>
      </c>
      <c r="D154" s="74" t="s">
        <v>236</v>
      </c>
      <c r="E154" s="75">
        <v>840</v>
      </c>
      <c r="F154" s="75"/>
      <c r="G154" s="30"/>
    </row>
    <row r="155" spans="1:7">
      <c r="C155" s="71" t="s">
        <v>220</v>
      </c>
      <c r="D155" s="72"/>
      <c r="E155" s="73">
        <v>840</v>
      </c>
      <c r="F155" s="72"/>
    </row>
    <row r="156" spans="1:7">
      <c r="A156" s="4" t="s">
        <v>42</v>
      </c>
      <c r="B156" s="4" t="s">
        <v>98</v>
      </c>
      <c r="C156" s="69" t="s">
        <v>221</v>
      </c>
      <c r="D156" s="69" t="s">
        <v>241</v>
      </c>
      <c r="E156" s="70">
        <v>12</v>
      </c>
      <c r="F156" s="70"/>
      <c r="G156" s="29" t="s">
        <v>259</v>
      </c>
    </row>
    <row r="157" spans="1:7">
      <c r="A157" s="4" t="s">
        <v>43</v>
      </c>
      <c r="B157" s="4" t="s">
        <v>99</v>
      </c>
      <c r="C157" s="69" t="s">
        <v>222</v>
      </c>
      <c r="D157" s="69" t="s">
        <v>241</v>
      </c>
      <c r="E157" s="70">
        <v>12</v>
      </c>
      <c r="F157" s="70"/>
      <c r="G157" s="29" t="s">
        <v>259</v>
      </c>
    </row>
    <row r="158" spans="1:7">
      <c r="C158" s="71" t="s">
        <v>223</v>
      </c>
      <c r="D158" s="72"/>
      <c r="E158" s="73">
        <v>12</v>
      </c>
      <c r="F158" s="72"/>
    </row>
    <row r="159" spans="1:7">
      <c r="A159" s="6"/>
      <c r="B159" s="13" t="s">
        <v>100</v>
      </c>
      <c r="C159" s="153" t="s">
        <v>224</v>
      </c>
      <c r="D159" s="154"/>
      <c r="E159" s="154"/>
      <c r="F159" s="154"/>
      <c r="G159" s="26"/>
    </row>
    <row r="160" spans="1:7">
      <c r="A160" s="4" t="s">
        <v>44</v>
      </c>
      <c r="B160" s="4" t="s">
        <v>101</v>
      </c>
      <c r="C160" s="69" t="s">
        <v>225</v>
      </c>
      <c r="D160" s="69" t="s">
        <v>237</v>
      </c>
      <c r="E160" s="70">
        <v>19.431100000000001</v>
      </c>
      <c r="F160" s="70"/>
      <c r="G160" s="29" t="s">
        <v>259</v>
      </c>
    </row>
    <row r="161" spans="1:7">
      <c r="A161" s="4" t="s">
        <v>45</v>
      </c>
      <c r="B161" s="4" t="s">
        <v>102</v>
      </c>
      <c r="C161" s="69" t="s">
        <v>226</v>
      </c>
      <c r="D161" s="69" t="s">
        <v>237</v>
      </c>
      <c r="E161" s="70">
        <v>19.431100000000001</v>
      </c>
      <c r="F161" s="70"/>
      <c r="G161" s="29" t="s">
        <v>259</v>
      </c>
    </row>
    <row r="162" spans="1:7">
      <c r="A162" s="4" t="s">
        <v>46</v>
      </c>
      <c r="B162" s="4" t="s">
        <v>103</v>
      </c>
      <c r="C162" s="69" t="s">
        <v>227</v>
      </c>
      <c r="D162" s="69" t="s">
        <v>237</v>
      </c>
      <c r="E162" s="70">
        <v>19.431100000000001</v>
      </c>
      <c r="F162" s="70"/>
      <c r="G162" s="29" t="s">
        <v>259</v>
      </c>
    </row>
    <row r="163" spans="1:7">
      <c r="A163" s="4" t="s">
        <v>47</v>
      </c>
      <c r="B163" s="4" t="s">
        <v>104</v>
      </c>
      <c r="C163" s="69" t="s">
        <v>228</v>
      </c>
      <c r="D163" s="69" t="s">
        <v>237</v>
      </c>
      <c r="E163" s="70">
        <v>19.431100000000001</v>
      </c>
      <c r="F163" s="70"/>
      <c r="G163" s="29" t="s">
        <v>259</v>
      </c>
    </row>
    <row r="164" spans="1:7" ht="25.5">
      <c r="A164" s="7" t="s">
        <v>48</v>
      </c>
      <c r="B164" s="7" t="s">
        <v>105</v>
      </c>
      <c r="C164" s="76" t="s">
        <v>229</v>
      </c>
      <c r="D164" s="76" t="s">
        <v>239</v>
      </c>
      <c r="E164" s="77">
        <v>1</v>
      </c>
      <c r="F164" s="77"/>
      <c r="G164" s="31"/>
    </row>
  </sheetData>
  <mergeCells count="29">
    <mergeCell ref="C148:F148"/>
    <mergeCell ref="C159:F159"/>
    <mergeCell ref="C121:F121"/>
    <mergeCell ref="C127:F127"/>
    <mergeCell ref="C130:F130"/>
    <mergeCell ref="C133:F133"/>
    <mergeCell ref="C146:F146"/>
    <mergeCell ref="C11:F11"/>
    <mergeCell ref="C65:F65"/>
    <mergeCell ref="C83:F83"/>
    <mergeCell ref="C103:F103"/>
    <mergeCell ref="C110:F110"/>
    <mergeCell ref="A6:A7"/>
    <mergeCell ref="B6:C7"/>
    <mergeCell ref="D6:D7"/>
    <mergeCell ref="E6:G7"/>
    <mergeCell ref="A8:A9"/>
    <mergeCell ref="B8:C9"/>
    <mergeCell ref="D8:D9"/>
    <mergeCell ref="E8:G9"/>
    <mergeCell ref="A4:A5"/>
    <mergeCell ref="B4:C5"/>
    <mergeCell ref="D4:D5"/>
    <mergeCell ref="E4:G5"/>
    <mergeCell ref="A1:G1"/>
    <mergeCell ref="A2:A3"/>
    <mergeCell ref="B2:C3"/>
    <mergeCell ref="D2:D3"/>
    <mergeCell ref="E2:G3"/>
  </mergeCells>
  <pageMargins left="0.39400000000000002" right="0.39400000000000002" top="0.59099999999999997" bottom="0.59099999999999997" header="0.5" footer="0.5"/>
  <pageSetup paperSize="9" scale="9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workbookViewId="0">
      <selection activeCell="K27" sqref="K27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  <col min="11" max="11" width="11.7109375" bestFit="1" customWidth="1"/>
  </cols>
  <sheetData>
    <row r="1" spans="1:10" ht="28.7" customHeight="1">
      <c r="A1" s="157" t="s">
        <v>392</v>
      </c>
      <c r="B1" s="158"/>
      <c r="C1" s="158"/>
      <c r="D1" s="158"/>
      <c r="E1" s="158"/>
      <c r="F1" s="158"/>
      <c r="G1" s="158"/>
      <c r="H1" s="158"/>
      <c r="I1" s="158"/>
    </row>
    <row r="2" spans="1:10">
      <c r="A2" s="134" t="s">
        <v>0</v>
      </c>
      <c r="B2" s="135"/>
      <c r="C2" s="137" t="s">
        <v>106</v>
      </c>
      <c r="D2" s="156"/>
      <c r="E2" s="140" t="s">
        <v>248</v>
      </c>
      <c r="F2" s="140" t="s">
        <v>253</v>
      </c>
      <c r="G2" s="135"/>
      <c r="H2" s="140" t="s">
        <v>320</v>
      </c>
      <c r="I2" s="159" t="s">
        <v>324</v>
      </c>
      <c r="J2" s="32"/>
    </row>
    <row r="3" spans="1:10" ht="25.7" customHeight="1">
      <c r="A3" s="136"/>
      <c r="B3" s="130"/>
      <c r="C3" s="138"/>
      <c r="D3" s="138"/>
      <c r="E3" s="130"/>
      <c r="F3" s="130"/>
      <c r="G3" s="130"/>
      <c r="H3" s="130"/>
      <c r="I3" s="131"/>
      <c r="J3" s="32"/>
    </row>
    <row r="4" spans="1:10">
      <c r="A4" s="142" t="s">
        <v>1</v>
      </c>
      <c r="B4" s="130"/>
      <c r="C4" s="129" t="s">
        <v>107</v>
      </c>
      <c r="D4" s="130"/>
      <c r="E4" s="129" t="s">
        <v>249</v>
      </c>
      <c r="F4" s="129" t="s">
        <v>254</v>
      </c>
      <c r="G4" s="130"/>
      <c r="H4" s="129" t="s">
        <v>320</v>
      </c>
      <c r="I4" s="160"/>
      <c r="J4" s="32"/>
    </row>
    <row r="5" spans="1:10">
      <c r="A5" s="136"/>
      <c r="B5" s="130"/>
      <c r="C5" s="130"/>
      <c r="D5" s="130"/>
      <c r="E5" s="130"/>
      <c r="F5" s="130"/>
      <c r="G5" s="130"/>
      <c r="H5" s="130"/>
      <c r="I5" s="131"/>
      <c r="J5" s="32"/>
    </row>
    <row r="6" spans="1:10">
      <c r="A6" s="142" t="s">
        <v>2</v>
      </c>
      <c r="B6" s="130"/>
      <c r="C6" s="129" t="s">
        <v>108</v>
      </c>
      <c r="D6" s="130"/>
      <c r="E6" s="129" t="s">
        <v>250</v>
      </c>
      <c r="F6" s="129"/>
      <c r="G6" s="130"/>
      <c r="H6" s="129" t="s">
        <v>320</v>
      </c>
      <c r="I6" s="160"/>
      <c r="J6" s="32"/>
    </row>
    <row r="7" spans="1:10">
      <c r="A7" s="136"/>
      <c r="B7" s="130"/>
      <c r="C7" s="130"/>
      <c r="D7" s="130"/>
      <c r="E7" s="130"/>
      <c r="F7" s="130"/>
      <c r="G7" s="130"/>
      <c r="H7" s="130"/>
      <c r="I7" s="131"/>
      <c r="J7" s="32"/>
    </row>
    <row r="8" spans="1:10">
      <c r="A8" s="142" t="s">
        <v>231</v>
      </c>
      <c r="B8" s="130"/>
      <c r="C8" s="143" t="s">
        <v>5</v>
      </c>
      <c r="D8" s="130"/>
      <c r="E8" s="129" t="s">
        <v>232</v>
      </c>
      <c r="F8" s="130"/>
      <c r="G8" s="130"/>
      <c r="H8" s="143" t="s">
        <v>321</v>
      </c>
      <c r="I8" s="160" t="s">
        <v>48</v>
      </c>
      <c r="J8" s="32"/>
    </row>
    <row r="9" spans="1:10">
      <c r="A9" s="136"/>
      <c r="B9" s="130"/>
      <c r="C9" s="130"/>
      <c r="D9" s="130"/>
      <c r="E9" s="130"/>
      <c r="F9" s="130"/>
      <c r="G9" s="130"/>
      <c r="H9" s="130"/>
      <c r="I9" s="131"/>
      <c r="J9" s="32"/>
    </row>
    <row r="10" spans="1:10">
      <c r="A10" s="142" t="s">
        <v>3</v>
      </c>
      <c r="B10" s="130"/>
      <c r="C10" s="129">
        <v>8013249</v>
      </c>
      <c r="D10" s="130"/>
      <c r="E10" s="129" t="s">
        <v>251</v>
      </c>
      <c r="F10" s="129"/>
      <c r="G10" s="130"/>
      <c r="H10" s="143" t="s">
        <v>322</v>
      </c>
      <c r="I10" s="161">
        <v>41763</v>
      </c>
      <c r="J10" s="32"/>
    </row>
    <row r="11" spans="1:10">
      <c r="A11" s="163"/>
      <c r="B11" s="164"/>
      <c r="C11" s="164"/>
      <c r="D11" s="164"/>
      <c r="E11" s="164"/>
      <c r="F11" s="164"/>
      <c r="G11" s="164"/>
      <c r="H11" s="164"/>
      <c r="I11" s="162"/>
      <c r="J11" s="32"/>
    </row>
    <row r="12" spans="1:10" ht="23.45" customHeight="1">
      <c r="A12" s="165" t="s">
        <v>281</v>
      </c>
      <c r="B12" s="166"/>
      <c r="C12" s="166"/>
      <c r="D12" s="166"/>
      <c r="E12" s="166"/>
      <c r="F12" s="166"/>
      <c r="G12" s="166"/>
      <c r="H12" s="166"/>
      <c r="I12" s="166"/>
    </row>
    <row r="13" spans="1:10" ht="26.45" customHeight="1">
      <c r="A13" s="46" t="s">
        <v>282</v>
      </c>
      <c r="B13" s="167" t="s">
        <v>294</v>
      </c>
      <c r="C13" s="168"/>
      <c r="D13" s="46" t="s">
        <v>296</v>
      </c>
      <c r="E13" s="167" t="s">
        <v>305</v>
      </c>
      <c r="F13" s="168"/>
      <c r="G13" s="46" t="s">
        <v>306</v>
      </c>
      <c r="H13" s="167" t="s">
        <v>323</v>
      </c>
      <c r="I13" s="168"/>
      <c r="J13" s="32"/>
    </row>
    <row r="14" spans="1:10" ht="15.2" customHeight="1">
      <c r="A14" s="47" t="s">
        <v>283</v>
      </c>
      <c r="B14" s="51" t="s">
        <v>295</v>
      </c>
      <c r="C14" s="55">
        <f>SUM('Soupis prací'!Q12:Q165)</f>
        <v>0</v>
      </c>
      <c r="D14" s="169" t="s">
        <v>297</v>
      </c>
      <c r="E14" s="170"/>
      <c r="F14" s="91">
        <v>0</v>
      </c>
      <c r="G14" s="169" t="s">
        <v>307</v>
      </c>
      <c r="H14" s="170"/>
      <c r="I14" s="91">
        <v>880</v>
      </c>
      <c r="J14" s="32"/>
    </row>
    <row r="15" spans="1:10" ht="15.2" customHeight="1">
      <c r="A15" s="48"/>
      <c r="B15" s="51" t="s">
        <v>252</v>
      </c>
      <c r="C15" s="55">
        <f>SUM('Soupis prací'!R12:R165)</f>
        <v>0</v>
      </c>
      <c r="D15" s="169" t="s">
        <v>298</v>
      </c>
      <c r="E15" s="170"/>
      <c r="F15" s="91">
        <v>0</v>
      </c>
      <c r="G15" s="169" t="s">
        <v>308</v>
      </c>
      <c r="H15" s="170"/>
      <c r="I15" s="91">
        <v>1200</v>
      </c>
      <c r="J15" s="32"/>
    </row>
    <row r="16" spans="1:10" ht="15.2" customHeight="1">
      <c r="A16" s="47" t="s">
        <v>284</v>
      </c>
      <c r="B16" s="51" t="s">
        <v>295</v>
      </c>
      <c r="C16" s="55">
        <f>SUM('Soupis prací'!S12:S165)</f>
        <v>0</v>
      </c>
      <c r="D16" s="169" t="s">
        <v>299</v>
      </c>
      <c r="E16" s="170"/>
      <c r="F16" s="91">
        <v>0</v>
      </c>
      <c r="G16" s="169" t="s">
        <v>309</v>
      </c>
      <c r="H16" s="170"/>
      <c r="I16" s="91">
        <v>0</v>
      </c>
      <c r="J16" s="32"/>
    </row>
    <row r="17" spans="1:11" ht="15.2" customHeight="1">
      <c r="A17" s="48"/>
      <c r="B17" s="51" t="s">
        <v>252</v>
      </c>
      <c r="C17" s="55">
        <f>SUM('Soupis prací'!T12:T165)</f>
        <v>0</v>
      </c>
      <c r="D17" s="169"/>
      <c r="E17" s="170"/>
      <c r="F17" s="92"/>
      <c r="G17" s="169" t="s">
        <v>310</v>
      </c>
      <c r="H17" s="170"/>
      <c r="I17" s="91">
        <v>0</v>
      </c>
      <c r="J17" s="32"/>
    </row>
    <row r="18" spans="1:11" ht="15.2" customHeight="1">
      <c r="A18" s="47" t="s">
        <v>285</v>
      </c>
      <c r="B18" s="51" t="s">
        <v>295</v>
      </c>
      <c r="C18" s="55">
        <f>SUM('Soupis prací'!U12:U165)</f>
        <v>0</v>
      </c>
      <c r="D18" s="169"/>
      <c r="E18" s="170"/>
      <c r="F18" s="92"/>
      <c r="G18" s="169" t="s">
        <v>311</v>
      </c>
      <c r="H18" s="170"/>
      <c r="I18" s="91">
        <v>0</v>
      </c>
      <c r="J18" s="32"/>
    </row>
    <row r="19" spans="1:11" ht="15.2" customHeight="1">
      <c r="A19" s="48"/>
      <c r="B19" s="51" t="s">
        <v>252</v>
      </c>
      <c r="C19" s="55">
        <f>SUM('Soupis prací'!V12:V165)</f>
        <v>0</v>
      </c>
      <c r="D19" s="169"/>
      <c r="E19" s="170"/>
      <c r="F19" s="92"/>
      <c r="G19" s="169" t="s">
        <v>312</v>
      </c>
      <c r="H19" s="170"/>
      <c r="I19" s="91">
        <v>0</v>
      </c>
      <c r="J19" s="32"/>
    </row>
    <row r="20" spans="1:11" ht="15.2" customHeight="1">
      <c r="A20" s="171" t="s">
        <v>286</v>
      </c>
      <c r="B20" s="172"/>
      <c r="C20" s="55">
        <f>SUM('Soupis prací'!W12:W165)</f>
        <v>0</v>
      </c>
      <c r="D20" s="169"/>
      <c r="E20" s="170"/>
      <c r="F20" s="92"/>
      <c r="G20" s="169"/>
      <c r="H20" s="170"/>
      <c r="I20" s="92"/>
      <c r="J20" s="32"/>
    </row>
    <row r="21" spans="1:11" ht="15.2" customHeight="1">
      <c r="A21" s="171" t="s">
        <v>287</v>
      </c>
      <c r="B21" s="172"/>
      <c r="C21" s="55">
        <f>SUM('Soupis prací'!O12:O165)</f>
        <v>0</v>
      </c>
      <c r="D21" s="169"/>
      <c r="E21" s="170"/>
      <c r="F21" s="92"/>
      <c r="G21" s="169"/>
      <c r="H21" s="170"/>
      <c r="I21" s="92"/>
      <c r="J21" s="32"/>
    </row>
    <row r="22" spans="1:11" ht="16.7" customHeight="1">
      <c r="A22" s="171" t="s">
        <v>288</v>
      </c>
      <c r="B22" s="172"/>
      <c r="C22" s="55">
        <f>SUM(C14:C21)</f>
        <v>0</v>
      </c>
      <c r="D22" s="177" t="s">
        <v>300</v>
      </c>
      <c r="E22" s="178"/>
      <c r="F22" s="91">
        <f>SUM(F14:F21)</f>
        <v>0</v>
      </c>
      <c r="G22" s="177" t="s">
        <v>313</v>
      </c>
      <c r="H22" s="178"/>
      <c r="I22" s="91">
        <f>SUM(I14:I21)</f>
        <v>2080</v>
      </c>
      <c r="J22" s="32"/>
    </row>
    <row r="23" spans="1:11" ht="15.2" customHeight="1">
      <c r="A23" s="8"/>
      <c r="B23" s="8"/>
      <c r="C23" s="53"/>
      <c r="D23" s="177" t="s">
        <v>301</v>
      </c>
      <c r="E23" s="178"/>
      <c r="F23" s="93">
        <v>0</v>
      </c>
      <c r="G23" s="177" t="s">
        <v>314</v>
      </c>
      <c r="H23" s="178"/>
      <c r="I23" s="91">
        <v>0</v>
      </c>
      <c r="J23" s="32"/>
    </row>
    <row r="24" spans="1:11" ht="15.2" customHeight="1">
      <c r="D24" s="8"/>
      <c r="E24" s="8"/>
      <c r="F24" s="56"/>
      <c r="G24" s="171" t="s">
        <v>315</v>
      </c>
      <c r="H24" s="172"/>
      <c r="I24" s="55">
        <v>0</v>
      </c>
      <c r="J24" s="32"/>
    </row>
    <row r="25" spans="1:11" ht="15.2" customHeight="1">
      <c r="F25" s="57"/>
      <c r="G25" s="177" t="s">
        <v>316</v>
      </c>
      <c r="H25" s="178"/>
      <c r="I25" s="91">
        <v>0</v>
      </c>
      <c r="J25" s="32"/>
    </row>
    <row r="26" spans="1:11" ht="18" customHeight="1">
      <c r="A26" s="44"/>
      <c r="B26" s="44"/>
      <c r="C26" s="44"/>
      <c r="G26" s="179" t="s">
        <v>341</v>
      </c>
      <c r="H26" s="179"/>
      <c r="I26" s="95">
        <v>0</v>
      </c>
      <c r="K26" s="107"/>
    </row>
    <row r="27" spans="1:11" ht="15.2" customHeight="1">
      <c r="A27" s="173" t="s">
        <v>289</v>
      </c>
      <c r="B27" s="174"/>
      <c r="C27" s="94">
        <f>SUM('Soupis prací'!Y12:Y165)</f>
        <v>0</v>
      </c>
      <c r="D27" s="54"/>
      <c r="E27" s="44"/>
      <c r="F27" s="44"/>
      <c r="G27" s="44"/>
      <c r="H27" s="44"/>
      <c r="I27" s="44"/>
    </row>
    <row r="28" spans="1:11" ht="15.2" customHeight="1">
      <c r="A28" s="173" t="s">
        <v>290</v>
      </c>
      <c r="B28" s="174"/>
      <c r="C28" s="94">
        <f>SUM('Soupis prací'!Z12:Z165)</f>
        <v>0</v>
      </c>
      <c r="D28" s="173" t="s">
        <v>302</v>
      </c>
      <c r="E28" s="174"/>
      <c r="F28" s="94">
        <f>ROUND(C28*(15/100),2)</f>
        <v>0</v>
      </c>
      <c r="G28" s="175" t="s">
        <v>317</v>
      </c>
      <c r="H28" s="176"/>
      <c r="I28" s="58">
        <f>SUM(C27:C29)</f>
        <v>0</v>
      </c>
      <c r="J28" s="32"/>
    </row>
    <row r="29" spans="1:11" ht="15.2" customHeight="1">
      <c r="A29" s="175" t="s">
        <v>291</v>
      </c>
      <c r="B29" s="176"/>
      <c r="C29" s="58">
        <f>SUM(C22,I24,I26)</f>
        <v>0</v>
      </c>
      <c r="D29" s="175" t="s">
        <v>303</v>
      </c>
      <c r="E29" s="176"/>
      <c r="F29" s="58">
        <f>ROUND(C29*(21/100),2)</f>
        <v>0</v>
      </c>
      <c r="G29" s="175" t="s">
        <v>318</v>
      </c>
      <c r="H29" s="176"/>
      <c r="I29" s="58">
        <f>SUM(F28:F29)+I28</f>
        <v>0</v>
      </c>
      <c r="J29" s="32"/>
    </row>
    <row r="30" spans="1:11">
      <c r="A30" s="49"/>
      <c r="B30" s="49"/>
      <c r="C30" s="49"/>
      <c r="D30" s="49"/>
      <c r="E30" s="49"/>
      <c r="F30" s="49"/>
      <c r="G30" s="49"/>
      <c r="H30" s="49"/>
      <c r="I30" s="49"/>
    </row>
    <row r="31" spans="1:11" ht="14.45" customHeight="1">
      <c r="A31" s="180" t="s">
        <v>292</v>
      </c>
      <c r="B31" s="181"/>
      <c r="C31" s="182"/>
      <c r="D31" s="180" t="s">
        <v>304</v>
      </c>
      <c r="E31" s="181"/>
      <c r="F31" s="182"/>
      <c r="G31" s="180" t="s">
        <v>319</v>
      </c>
      <c r="H31" s="181"/>
      <c r="I31" s="182"/>
      <c r="J31" s="33"/>
    </row>
    <row r="32" spans="1:11" ht="14.45" customHeight="1">
      <c r="A32" s="183"/>
      <c r="B32" s="184"/>
      <c r="C32" s="185"/>
      <c r="D32" s="183"/>
      <c r="E32" s="184"/>
      <c r="F32" s="185"/>
      <c r="G32" s="183"/>
      <c r="H32" s="184"/>
      <c r="I32" s="185"/>
      <c r="J32" s="33"/>
    </row>
    <row r="33" spans="1:10" ht="14.45" customHeight="1">
      <c r="A33" s="183"/>
      <c r="B33" s="184"/>
      <c r="C33" s="185"/>
      <c r="D33" s="183"/>
      <c r="E33" s="184"/>
      <c r="F33" s="185"/>
      <c r="G33" s="183"/>
      <c r="H33" s="184"/>
      <c r="I33" s="185"/>
      <c r="J33" s="33"/>
    </row>
    <row r="34" spans="1:10" ht="14.45" customHeight="1">
      <c r="A34" s="186" t="s">
        <v>293</v>
      </c>
      <c r="B34" s="187"/>
      <c r="C34" s="188"/>
      <c r="D34" s="186" t="s">
        <v>293</v>
      </c>
      <c r="E34" s="187"/>
      <c r="F34" s="188"/>
      <c r="G34" s="186" t="s">
        <v>293</v>
      </c>
      <c r="H34" s="187"/>
      <c r="I34" s="188"/>
      <c r="J34" s="33"/>
    </row>
    <row r="35" spans="1:10" ht="11.25" customHeight="1">
      <c r="A35" s="50" t="s">
        <v>49</v>
      </c>
      <c r="B35" s="52"/>
      <c r="C35" s="52"/>
      <c r="D35" s="52"/>
      <c r="E35" s="52"/>
      <c r="F35" s="52"/>
      <c r="G35" s="52"/>
      <c r="H35" s="52"/>
      <c r="I35" s="52"/>
    </row>
    <row r="36" spans="1:10" ht="409.6" hidden="1" customHeight="1">
      <c r="A36" s="129"/>
      <c r="B36" s="130"/>
      <c r="C36" s="130"/>
      <c r="D36" s="130"/>
      <c r="E36" s="130"/>
      <c r="F36" s="130"/>
      <c r="G36" s="130"/>
      <c r="H36" s="130"/>
      <c r="I36" s="130"/>
    </row>
  </sheetData>
  <mergeCells count="81">
    <mergeCell ref="A32:C32"/>
    <mergeCell ref="D32:F32"/>
    <mergeCell ref="G32:I32"/>
    <mergeCell ref="A36:I36"/>
    <mergeCell ref="A33:C33"/>
    <mergeCell ref="D33:F33"/>
    <mergeCell ref="G33:I33"/>
    <mergeCell ref="A34:C34"/>
    <mergeCell ref="D34:F34"/>
    <mergeCell ref="G34:I34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G26:H26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9" scale="95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workbookViewId="0">
      <selection activeCell="I44" sqref="I44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28.7" customHeight="1">
      <c r="A1" s="157" t="s">
        <v>325</v>
      </c>
      <c r="B1" s="158"/>
      <c r="C1" s="158"/>
      <c r="D1" s="158"/>
      <c r="E1" s="158"/>
      <c r="F1" s="158"/>
      <c r="G1" s="158"/>
      <c r="H1" s="158"/>
      <c r="I1" s="158"/>
    </row>
    <row r="2" spans="1:10">
      <c r="A2" s="134" t="s">
        <v>0</v>
      </c>
      <c r="B2" s="135"/>
      <c r="C2" s="137" t="s">
        <v>106</v>
      </c>
      <c r="D2" s="156"/>
      <c r="E2" s="140" t="s">
        <v>248</v>
      </c>
      <c r="F2" s="140" t="s">
        <v>253</v>
      </c>
      <c r="G2" s="135"/>
      <c r="H2" s="140" t="s">
        <v>320</v>
      </c>
      <c r="I2" s="159" t="s">
        <v>324</v>
      </c>
      <c r="J2" s="32"/>
    </row>
    <row r="3" spans="1:10" ht="25.7" customHeight="1">
      <c r="A3" s="136"/>
      <c r="B3" s="130"/>
      <c r="C3" s="138"/>
      <c r="D3" s="138"/>
      <c r="E3" s="130"/>
      <c r="F3" s="130"/>
      <c r="G3" s="130"/>
      <c r="H3" s="130"/>
      <c r="I3" s="131"/>
      <c r="J3" s="32"/>
    </row>
    <row r="4" spans="1:10">
      <c r="A4" s="142" t="s">
        <v>1</v>
      </c>
      <c r="B4" s="130"/>
      <c r="C4" s="129" t="s">
        <v>107</v>
      </c>
      <c r="D4" s="130"/>
      <c r="E4" s="129" t="s">
        <v>249</v>
      </c>
      <c r="F4" s="129" t="s">
        <v>254</v>
      </c>
      <c r="G4" s="130"/>
      <c r="H4" s="129" t="s">
        <v>320</v>
      </c>
      <c r="I4" s="160"/>
      <c r="J4" s="32"/>
    </row>
    <row r="5" spans="1:10">
      <c r="A5" s="136"/>
      <c r="B5" s="130"/>
      <c r="C5" s="130"/>
      <c r="D5" s="130"/>
      <c r="E5" s="130"/>
      <c r="F5" s="130"/>
      <c r="G5" s="130"/>
      <c r="H5" s="130"/>
      <c r="I5" s="131"/>
      <c r="J5" s="32"/>
    </row>
    <row r="6" spans="1:10">
      <c r="A6" s="142" t="s">
        <v>2</v>
      </c>
      <c r="B6" s="130"/>
      <c r="C6" s="129" t="s">
        <v>108</v>
      </c>
      <c r="D6" s="130"/>
      <c r="E6" s="129" t="s">
        <v>250</v>
      </c>
      <c r="F6" s="129"/>
      <c r="G6" s="130"/>
      <c r="H6" s="129" t="s">
        <v>320</v>
      </c>
      <c r="I6" s="160"/>
      <c r="J6" s="32"/>
    </row>
    <row r="7" spans="1:10">
      <c r="A7" s="136"/>
      <c r="B7" s="130"/>
      <c r="C7" s="130"/>
      <c r="D7" s="130"/>
      <c r="E7" s="130"/>
      <c r="F7" s="130"/>
      <c r="G7" s="130"/>
      <c r="H7" s="130"/>
      <c r="I7" s="131"/>
      <c r="J7" s="32"/>
    </row>
    <row r="8" spans="1:10">
      <c r="A8" s="142" t="s">
        <v>231</v>
      </c>
      <c r="B8" s="130"/>
      <c r="C8" s="143" t="s">
        <v>5</v>
      </c>
      <c r="D8" s="130"/>
      <c r="E8" s="129" t="s">
        <v>232</v>
      </c>
      <c r="F8" s="130"/>
      <c r="G8" s="130"/>
      <c r="H8" s="143" t="s">
        <v>321</v>
      </c>
      <c r="I8" s="160"/>
      <c r="J8" s="32"/>
    </row>
    <row r="9" spans="1:10">
      <c r="A9" s="136"/>
      <c r="B9" s="130"/>
      <c r="C9" s="130"/>
      <c r="D9" s="130"/>
      <c r="E9" s="130"/>
      <c r="F9" s="130"/>
      <c r="G9" s="130"/>
      <c r="H9" s="130"/>
      <c r="I9" s="131"/>
      <c r="J9" s="32"/>
    </row>
    <row r="10" spans="1:10">
      <c r="A10" s="142" t="s">
        <v>3</v>
      </c>
      <c r="B10" s="130"/>
      <c r="C10" s="129">
        <v>8013249</v>
      </c>
      <c r="D10" s="130"/>
      <c r="E10" s="129" t="s">
        <v>251</v>
      </c>
      <c r="F10" s="129"/>
      <c r="G10" s="130"/>
      <c r="H10" s="143" t="s">
        <v>322</v>
      </c>
      <c r="I10" s="161">
        <v>41763</v>
      </c>
      <c r="J10" s="32"/>
    </row>
    <row r="11" spans="1:10">
      <c r="A11" s="163"/>
      <c r="B11" s="164"/>
      <c r="C11" s="164"/>
      <c r="D11" s="164"/>
      <c r="E11" s="164"/>
      <c r="F11" s="164"/>
      <c r="G11" s="164"/>
      <c r="H11" s="164"/>
      <c r="I11" s="162"/>
      <c r="J11" s="32"/>
    </row>
    <row r="12" spans="1:10">
      <c r="A12" s="8"/>
      <c r="B12" s="8"/>
      <c r="C12" s="8"/>
      <c r="D12" s="8"/>
      <c r="E12" s="8"/>
      <c r="F12" s="8"/>
      <c r="G12" s="8"/>
      <c r="H12" s="8"/>
      <c r="I12" s="8"/>
    </row>
    <row r="13" spans="1:10" ht="15.2" customHeight="1" thickBot="1">
      <c r="A13" s="192" t="s">
        <v>326</v>
      </c>
      <c r="B13" s="193"/>
      <c r="C13" s="193"/>
      <c r="D13" s="193"/>
      <c r="E13" s="193"/>
      <c r="F13" s="60"/>
      <c r="G13" s="60"/>
      <c r="H13" s="60"/>
      <c r="I13" s="60"/>
    </row>
    <row r="14" spans="1:10">
      <c r="A14" s="189" t="s">
        <v>297</v>
      </c>
      <c r="B14" s="190"/>
      <c r="C14" s="190"/>
      <c r="D14" s="190"/>
      <c r="E14" s="191"/>
      <c r="F14" s="83">
        <v>0</v>
      </c>
      <c r="G14" s="84"/>
      <c r="H14" s="84"/>
      <c r="I14" s="83">
        <f>F14</f>
        <v>0</v>
      </c>
      <c r="J14" s="32"/>
    </row>
    <row r="15" spans="1:10">
      <c r="A15" s="189" t="s">
        <v>298</v>
      </c>
      <c r="B15" s="190"/>
      <c r="C15" s="190"/>
      <c r="D15" s="190"/>
      <c r="E15" s="191"/>
      <c r="F15" s="83">
        <v>0</v>
      </c>
      <c r="G15" s="84"/>
      <c r="H15" s="84"/>
      <c r="I15" s="83">
        <f>F15</f>
        <v>0</v>
      </c>
      <c r="J15" s="32"/>
    </row>
    <row r="16" spans="1:10">
      <c r="A16" s="194" t="s">
        <v>299</v>
      </c>
      <c r="B16" s="195"/>
      <c r="C16" s="195"/>
      <c r="D16" s="195"/>
      <c r="E16" s="196"/>
      <c r="F16" s="85">
        <v>0</v>
      </c>
      <c r="G16" s="86"/>
      <c r="H16" s="86"/>
      <c r="I16" s="85">
        <f>F16</f>
        <v>0</v>
      </c>
      <c r="J16" s="32"/>
    </row>
    <row r="17" spans="1:10">
      <c r="A17" s="197" t="s">
        <v>327</v>
      </c>
      <c r="B17" s="198"/>
      <c r="C17" s="198"/>
      <c r="D17" s="198"/>
      <c r="E17" s="199"/>
      <c r="F17" s="87"/>
      <c r="G17" s="88"/>
      <c r="H17" s="88"/>
      <c r="I17" s="89">
        <f>SUM(I14:I16)</f>
        <v>0</v>
      </c>
      <c r="J17" s="33"/>
    </row>
    <row r="18" spans="1:10">
      <c r="A18" s="59"/>
      <c r="B18" s="59"/>
      <c r="C18" s="59"/>
      <c r="D18" s="59"/>
      <c r="E18" s="59"/>
      <c r="F18" s="59"/>
      <c r="G18" s="59"/>
      <c r="H18" s="59"/>
      <c r="I18" s="59"/>
    </row>
    <row r="19" spans="1:10">
      <c r="A19" s="200" t="s">
        <v>323</v>
      </c>
      <c r="B19" s="201"/>
      <c r="C19" s="201"/>
      <c r="D19" s="201"/>
      <c r="E19" s="202"/>
      <c r="F19" s="90" t="s">
        <v>333</v>
      </c>
      <c r="G19" s="90" t="s">
        <v>334</v>
      </c>
      <c r="H19" s="90" t="s">
        <v>335</v>
      </c>
      <c r="I19" s="90" t="s">
        <v>333</v>
      </c>
      <c r="J19" s="33"/>
    </row>
    <row r="20" spans="1:10">
      <c r="A20" s="203" t="s">
        <v>307</v>
      </c>
      <c r="B20" s="204"/>
      <c r="C20" s="204"/>
      <c r="D20" s="204"/>
      <c r="E20" s="205"/>
      <c r="F20" s="62">
        <v>0</v>
      </c>
      <c r="G20" s="65"/>
      <c r="H20" s="65"/>
      <c r="I20" s="62">
        <f t="shared" ref="I20:I25" si="0">F20</f>
        <v>0</v>
      </c>
      <c r="J20" s="32"/>
    </row>
    <row r="21" spans="1:10">
      <c r="A21" s="203" t="s">
        <v>308</v>
      </c>
      <c r="B21" s="204"/>
      <c r="C21" s="204"/>
      <c r="D21" s="204"/>
      <c r="E21" s="205"/>
      <c r="F21" s="62">
        <v>0</v>
      </c>
      <c r="G21" s="65"/>
      <c r="H21" s="65"/>
      <c r="I21" s="62">
        <f t="shared" si="0"/>
        <v>0</v>
      </c>
      <c r="J21" s="32"/>
    </row>
    <row r="22" spans="1:10">
      <c r="A22" s="189" t="s">
        <v>309</v>
      </c>
      <c r="B22" s="190"/>
      <c r="C22" s="190"/>
      <c r="D22" s="190"/>
      <c r="E22" s="191"/>
      <c r="F22" s="83">
        <v>0</v>
      </c>
      <c r="G22" s="84"/>
      <c r="H22" s="84"/>
      <c r="I22" s="83">
        <f t="shared" si="0"/>
        <v>0</v>
      </c>
      <c r="J22" s="32"/>
    </row>
    <row r="23" spans="1:10">
      <c r="A23" s="189" t="s">
        <v>310</v>
      </c>
      <c r="B23" s="190"/>
      <c r="C23" s="190"/>
      <c r="D23" s="190"/>
      <c r="E23" s="191"/>
      <c r="F23" s="83">
        <v>0</v>
      </c>
      <c r="G23" s="84"/>
      <c r="H23" s="84"/>
      <c r="I23" s="83">
        <f t="shared" si="0"/>
        <v>0</v>
      </c>
      <c r="J23" s="32"/>
    </row>
    <row r="24" spans="1:10">
      <c r="A24" s="189" t="s">
        <v>311</v>
      </c>
      <c r="B24" s="190"/>
      <c r="C24" s="190"/>
      <c r="D24" s="190"/>
      <c r="E24" s="191"/>
      <c r="F24" s="83">
        <v>0</v>
      </c>
      <c r="G24" s="84"/>
      <c r="H24" s="84"/>
      <c r="I24" s="83">
        <f t="shared" si="0"/>
        <v>0</v>
      </c>
      <c r="J24" s="32"/>
    </row>
    <row r="25" spans="1:10">
      <c r="A25" s="194" t="s">
        <v>312</v>
      </c>
      <c r="B25" s="195"/>
      <c r="C25" s="195"/>
      <c r="D25" s="195"/>
      <c r="E25" s="196"/>
      <c r="F25" s="85">
        <v>0</v>
      </c>
      <c r="G25" s="86"/>
      <c r="H25" s="86"/>
      <c r="I25" s="85">
        <f t="shared" si="0"/>
        <v>0</v>
      </c>
      <c r="J25" s="32"/>
    </row>
    <row r="26" spans="1:10">
      <c r="A26" s="197" t="s">
        <v>328</v>
      </c>
      <c r="B26" s="198"/>
      <c r="C26" s="198"/>
      <c r="D26" s="198"/>
      <c r="E26" s="199"/>
      <c r="F26" s="87"/>
      <c r="G26" s="88"/>
      <c r="H26" s="88"/>
      <c r="I26" s="89">
        <f>SUM(I20:I25)</f>
        <v>0</v>
      </c>
      <c r="J26" s="33"/>
    </row>
    <row r="27" spans="1:10">
      <c r="A27" s="59"/>
      <c r="B27" s="59"/>
      <c r="C27" s="59"/>
      <c r="D27" s="59"/>
      <c r="E27" s="59"/>
      <c r="F27" s="59"/>
      <c r="G27" s="59"/>
      <c r="H27" s="59"/>
      <c r="I27" s="59"/>
    </row>
    <row r="28" spans="1:10" ht="15.2" customHeight="1">
      <c r="A28" s="209" t="s">
        <v>329</v>
      </c>
      <c r="B28" s="210"/>
      <c r="C28" s="210"/>
      <c r="D28" s="210"/>
      <c r="E28" s="211"/>
      <c r="F28" s="212">
        <f>I17+I26</f>
        <v>0</v>
      </c>
      <c r="G28" s="213"/>
      <c r="H28" s="213"/>
      <c r="I28" s="214"/>
      <c r="J28" s="33"/>
    </row>
    <row r="29" spans="1:10">
      <c r="A29" s="52"/>
      <c r="B29" s="52"/>
      <c r="C29" s="52"/>
      <c r="D29" s="52"/>
      <c r="E29" s="52"/>
      <c r="F29" s="52"/>
      <c r="G29" s="52"/>
      <c r="H29" s="52"/>
      <c r="I29" s="52"/>
    </row>
    <row r="32" spans="1:10" ht="15.2" customHeight="1">
      <c r="A32" s="192" t="s">
        <v>330</v>
      </c>
      <c r="B32" s="193"/>
      <c r="C32" s="193"/>
      <c r="D32" s="193"/>
      <c r="E32" s="193"/>
      <c r="F32" s="60"/>
      <c r="G32" s="60"/>
      <c r="H32" s="60"/>
      <c r="I32" s="60"/>
    </row>
    <row r="33" spans="1:10">
      <c r="A33" s="215" t="s">
        <v>331</v>
      </c>
      <c r="B33" s="216"/>
      <c r="C33" s="216"/>
      <c r="D33" s="216"/>
      <c r="E33" s="217"/>
      <c r="F33" s="61" t="s">
        <v>333</v>
      </c>
      <c r="G33" s="61" t="s">
        <v>334</v>
      </c>
      <c r="H33" s="61" t="s">
        <v>335</v>
      </c>
      <c r="I33" s="61" t="s">
        <v>333</v>
      </c>
      <c r="J33" s="33"/>
    </row>
    <row r="34" spans="1:10">
      <c r="A34" s="203" t="s">
        <v>336</v>
      </c>
      <c r="B34" s="204"/>
      <c r="C34" s="204"/>
      <c r="D34" s="204"/>
      <c r="E34" s="205"/>
      <c r="F34" s="62">
        <v>0</v>
      </c>
      <c r="G34" s="65"/>
      <c r="H34" s="65"/>
      <c r="I34" s="62">
        <f>F34</f>
        <v>0</v>
      </c>
      <c r="J34" s="32"/>
    </row>
    <row r="35" spans="1:10">
      <c r="A35" s="203" t="s">
        <v>337</v>
      </c>
      <c r="B35" s="204"/>
      <c r="C35" s="204"/>
      <c r="D35" s="204"/>
      <c r="E35" s="205"/>
      <c r="F35" s="62">
        <v>0</v>
      </c>
      <c r="G35" s="65"/>
      <c r="H35" s="65"/>
      <c r="I35" s="62">
        <f>F35</f>
        <v>0</v>
      </c>
      <c r="J35" s="32"/>
    </row>
    <row r="36" spans="1:10">
      <c r="A36" s="203" t="s">
        <v>338</v>
      </c>
      <c r="B36" s="204"/>
      <c r="C36" s="204"/>
      <c r="D36" s="204"/>
      <c r="E36" s="205"/>
      <c r="F36" s="62">
        <v>0</v>
      </c>
      <c r="G36" s="65"/>
      <c r="H36" s="65"/>
      <c r="I36" s="62">
        <f>F36</f>
        <v>0</v>
      </c>
      <c r="J36" s="32"/>
    </row>
    <row r="37" spans="1:10" ht="31.5" customHeight="1">
      <c r="A37" s="218" t="s">
        <v>339</v>
      </c>
      <c r="B37" s="219"/>
      <c r="C37" s="219"/>
      <c r="D37" s="219"/>
      <c r="E37" s="220"/>
      <c r="F37" s="62">
        <v>0</v>
      </c>
      <c r="G37" s="65"/>
      <c r="H37" s="65"/>
      <c r="I37" s="62">
        <f>F37</f>
        <v>0</v>
      </c>
      <c r="J37" s="32"/>
    </row>
    <row r="38" spans="1:10">
      <c r="A38" s="221" t="s">
        <v>340</v>
      </c>
      <c r="B38" s="222"/>
      <c r="C38" s="222"/>
      <c r="D38" s="222"/>
      <c r="E38" s="223"/>
      <c r="F38" s="63">
        <v>0</v>
      </c>
      <c r="G38" s="66"/>
      <c r="H38" s="66"/>
      <c r="I38" s="63">
        <f>F38</f>
        <v>0</v>
      </c>
      <c r="J38" s="32"/>
    </row>
    <row r="39" spans="1:10">
      <c r="A39" s="206" t="s">
        <v>332</v>
      </c>
      <c r="B39" s="207"/>
      <c r="C39" s="207"/>
      <c r="D39" s="207"/>
      <c r="E39" s="208"/>
      <c r="F39" s="64"/>
      <c r="G39" s="67"/>
      <c r="H39" s="67"/>
      <c r="I39" s="68">
        <f>SUM(I34:I38)</f>
        <v>0</v>
      </c>
      <c r="J39" s="33"/>
    </row>
    <row r="40" spans="1:10">
      <c r="A40" s="52"/>
      <c r="B40" s="52"/>
      <c r="C40" s="52"/>
      <c r="D40" s="52"/>
      <c r="E40" s="52"/>
      <c r="F40" s="52"/>
      <c r="G40" s="52"/>
      <c r="H40" s="52"/>
      <c r="I40" s="52"/>
    </row>
  </sheetData>
  <mergeCells count="54">
    <mergeCell ref="A39:E39"/>
    <mergeCell ref="A25:E25"/>
    <mergeCell ref="A26:E26"/>
    <mergeCell ref="A28:E28"/>
    <mergeCell ref="F28:I28"/>
    <mergeCell ref="A32:E32"/>
    <mergeCell ref="A33:E33"/>
    <mergeCell ref="A34:E34"/>
    <mergeCell ref="A35:E35"/>
    <mergeCell ref="A36:E36"/>
    <mergeCell ref="A37:E37"/>
    <mergeCell ref="A38:E38"/>
    <mergeCell ref="A24:E24"/>
    <mergeCell ref="A13:E13"/>
    <mergeCell ref="A14:E14"/>
    <mergeCell ref="A15:E15"/>
    <mergeCell ref="A16:E16"/>
    <mergeCell ref="A17:E17"/>
    <mergeCell ref="A19:E19"/>
    <mergeCell ref="A20:E20"/>
    <mergeCell ref="A21:E21"/>
    <mergeCell ref="A22:E22"/>
    <mergeCell ref="A23:E23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Příloha-Vnější výplně</vt:lpstr>
      <vt:lpstr>Soupis prací</vt:lpstr>
      <vt:lpstr>Soupis prací - součet</vt:lpstr>
      <vt:lpstr>Výkaz výměr</vt:lpstr>
      <vt:lpstr>Krycí list soupisu prací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Radovnicky Jaroslav Ing.</cp:lastModifiedBy>
  <cp:lastPrinted>2014-05-28T11:19:35Z</cp:lastPrinted>
  <dcterms:created xsi:type="dcterms:W3CDTF">2014-05-06T08:51:48Z</dcterms:created>
  <dcterms:modified xsi:type="dcterms:W3CDTF">2014-05-28T11:25:36Z</dcterms:modified>
</cp:coreProperties>
</file>